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60" windowHeight="9600" activeTab="0"/>
  </bookViews>
  <sheets>
    <sheet name="All Data" sheetId="1" r:id="rId1"/>
    <sheet name="Summary" sheetId="2" r:id="rId2"/>
  </sheets>
  <definedNames>
    <definedName name="_xlfn.IFERROR" hidden="1">#NAME?</definedName>
    <definedName name="StateData">'All Data'!$3:$52</definedName>
  </definedNames>
  <calcPr fullCalcOnLoad="1"/>
</workbook>
</file>

<file path=xl/sharedStrings.xml><?xml version="1.0" encoding="utf-8"?>
<sst xmlns="http://schemas.openxmlformats.org/spreadsheetml/2006/main" count="309" uniqueCount="148">
  <si>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</si>
  <si>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</si>
  <si>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</si>
  <si>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</si>
  <si>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</si>
  <si>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</si>
  <si>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</si>
  <si>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</si>
  <si>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</si>
  <si>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</si>
  <si>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</si>
  <si>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</si>
  <si>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</si>
  <si>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</si>
  <si>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</si>
  <si>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</si>
  <si>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</si>
  <si>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</si>
  <si>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</si>
  <si>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</si>
  <si>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</si>
  <si>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</si>
  <si>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</si>
  <si>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</si>
  <si>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</si>
  <si>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</si>
  <si>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</si>
  <si>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</si>
  <si>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</si>
  <si>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</si>
  <si>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</si>
  <si>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</si>
  <si>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</si>
  <si>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</si>
  <si>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</si>
  <si>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</si>
  <si>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</si>
  <si>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</si>
  <si>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</si>
  <si>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</si>
  <si>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</si>
  <si>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</si>
  <si>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</si>
  <si>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</si>
  <si>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</si>
  <si>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</si>
  <si>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</si>
  <si>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</si>
  <si>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</si>
  <si>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</si>
  <si>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</t>
  </si>
  <si>
    <t>Population Age 21+ from 2000 Census</t>
  </si>
  <si>
    <t>All 50 States</t>
  </si>
  <si>
    <t>Shall Issue</t>
  </si>
  <si>
    <t>True RTC</t>
  </si>
  <si>
    <t>May Issue</t>
  </si>
  <si>
    <t>No Issue</t>
  </si>
  <si>
    <t>Status</t>
  </si>
  <si>
    <t>1998 CCRKBA Press Release</t>
  </si>
  <si>
    <t>Rank</t>
  </si>
  <si>
    <t>Official Link</t>
  </si>
  <si>
    <t>Official Email</t>
  </si>
  <si>
    <t>Age to Carry</t>
  </si>
  <si>
    <t>Chris Bird's Book (4th edition)</t>
  </si>
  <si>
    <t>Old</t>
  </si>
  <si>
    <t>New</t>
  </si>
  <si>
    <t>Old or New Wave</t>
  </si>
  <si>
    <t>Bird's As Of Date</t>
  </si>
  <si>
    <t>Official As Of Date</t>
  </si>
  <si>
    <t>Official Number</t>
  </si>
  <si>
    <t>Number of Licenses Issued</t>
  </si>
  <si>
    <t>Y</t>
  </si>
  <si>
    <t>Enabled</t>
  </si>
  <si>
    <t>N</t>
  </si>
  <si>
    <t>Bird</t>
  </si>
  <si>
    <t>Official</t>
  </si>
  <si>
    <t>CCRKBA</t>
  </si>
  <si>
    <t>Inferred Percent</t>
  </si>
  <si>
    <t>Licenses Included for Extrapolation</t>
  </si>
  <si>
    <t>Population Included for Extrapolation</t>
  </si>
  <si>
    <t>Extrapolated Licenses Issued</t>
  </si>
  <si>
    <t>Number of Licenses Used</t>
  </si>
  <si>
    <t>Old Wave Total Population</t>
  </si>
  <si>
    <t>Licenses Issued or Inferred</t>
  </si>
  <si>
    <t>Count</t>
  </si>
  <si>
    <t>Source</t>
  </si>
  <si>
    <t>As Of Date</t>
  </si>
  <si>
    <t>Percent</t>
  </si>
  <si>
    <t>1 in X</t>
  </si>
  <si>
    <t>Age Eligible Population with License</t>
  </si>
  <si>
    <t>Total Population with License</t>
  </si>
  <si>
    <t>Included Old Wave Licenses</t>
  </si>
  <si>
    <t>Included Old Wave Target Population</t>
  </si>
  <si>
    <t>Included Old Wave Total Population</t>
  </si>
  <si>
    <t>50 States</t>
  </si>
  <si>
    <t>Extrapolated</t>
  </si>
  <si>
    <t>Target Population (extrapolated from estimate)</t>
  </si>
  <si>
    <t>Population 2010 Census</t>
  </si>
  <si>
    <t>Population Under 18 from 2010 Census</t>
  </si>
  <si>
    <t>Population Age 18+ (computed)</t>
  </si>
  <si>
    <t>Population Age 21+ from 2010 Census</t>
  </si>
  <si>
    <t>Population Estimate for 20nn</t>
  </si>
  <si>
    <t>Target Population from 2010</t>
  </si>
  <si>
    <t>Population Age 2000 Census</t>
  </si>
  <si>
    <t/>
  </si>
  <si>
    <t>Derived Population Age 21+</t>
  </si>
  <si>
    <t>Official SWAG</t>
  </si>
  <si>
    <t>Official Inquiry Sent</t>
  </si>
  <si>
    <t>Need To Ask</t>
  </si>
  <si>
    <t>Today</t>
  </si>
  <si>
    <t>Detail</t>
  </si>
  <si>
    <t>Link</t>
  </si>
  <si>
    <t>Email</t>
  </si>
  <si>
    <t>SWAG</t>
  </si>
  <si>
    <t>Official URL</t>
  </si>
  <si>
    <t>http://www.nh.gov/safety/divisions/nhsp/ssb/permitslicensing/index.html</t>
  </si>
  <si>
    <t>http://apps.sd.gov/news/showDoc.aspx?i=11557</t>
  </si>
  <si>
    <t>http://publicsafety.utah.gov/bci/concealedfirearms.html</t>
  </si>
  <si>
    <t>http://www.portal.state.pa.us/portal/server.pt?open=512&amp;objID=4451&amp;&amp;PageID=462425&amp;level=2&amp;css=L2&amp;mode=2</t>
  </si>
  <si>
    <t>http://www.tn.gov/safety/stats/DL_Handgun/Handgun/HandgunCarryPermitswithPercentChange.pdf</t>
  </si>
  <si>
    <t>http://www.dol.wa.gov/ppu/firfront.htm</t>
  </si>
  <si>
    <t>http://attorneygeneral.state.wy.us/dci/index.html</t>
  </si>
  <si>
    <t>http://licgweb.doacs.state.fl.us/stats/cw_active.html</t>
  </si>
  <si>
    <t>http://www.asp.state.ar.us/divisions/rs/rs_chl.html</t>
  </si>
  <si>
    <t>http://www.kentuckystatepolice.org/conceal.htm</t>
  </si>
  <si>
    <t>http://www.wvstatepolice.com/</t>
  </si>
  <si>
    <t>http://www.vsp.state.va.us/Annual_Report.shtm</t>
  </si>
  <si>
    <t>http://www.ok.gov/osbi/Publications/SDA_Statistics.html</t>
  </si>
  <si>
    <t>http://www.michigan.gov/msp/0,1607,7-123-1591_3503_4654-77621--,00.html</t>
  </si>
  <si>
    <t>http://www.sled.sc.gov/documents/CWP/SCCWPCalendarYear2010.pdf</t>
  </si>
  <si>
    <t>http://ccw.azdps.gov/</t>
  </si>
  <si>
    <t>http://www.doj.mt.gov/enforcement/criminaljustice/concealedweapons.asp</t>
  </si>
  <si>
    <t>http://dor.mo.gov/publicreports/</t>
  </si>
  <si>
    <t>http://www.dps.state.ia.us/</t>
  </si>
  <si>
    <t>http://sbi2.jus.state.nc.us/crp/public/Default.htm</t>
  </si>
  <si>
    <t>http://www.ohioattorneygeneral.gov/2010CCWReport</t>
  </si>
  <si>
    <t>http://www.txdps.state.tx.us/administration/crime_records/chl/demographics.htm</t>
  </si>
  <si>
    <t>http://www.ag.nd.gov/Reports/BiennialReports/BiennialReport07-09.pdf</t>
  </si>
  <si>
    <t>https://dps.mn.gov/divisions/bca/bca-divisions/administrative/Documents/2010PTSReport.pdf</t>
  </si>
  <si>
    <t>http://www.csoc.org/magazine.asp</t>
  </si>
  <si>
    <t>http://www.ksag.org/page/concealed-carry</t>
  </si>
  <si>
    <t>http://www.lsp.org/handguns.html</t>
  </si>
  <si>
    <t>http://www.nm-ccw.com/faq.htm</t>
  </si>
  <si>
    <t>http://ag.ca.gov/firearms/forms/pdf/ccwissuances2007.pdf</t>
  </si>
  <si>
    <t>http://www.isp.idaho.gov/identification/</t>
  </si>
  <si>
    <t>http://www.mdsp.org/</t>
  </si>
  <si>
    <t>Single Years of Age and Sex: 2010</t>
  </si>
  <si>
    <t>http://statepatrol.nebraska.gov/ConcealCarry.aspx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</si>
</sst>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[$-409]dd/mmm/yyyy;@"/>
    <numFmt numFmtId="168" formatCode="0.000%"/>
    <numFmt numFmtId="169" formatCode="[$-409]dd\-mmm\-yyyy;@"/>
    <numFmt numFmtId="170" formatCode="[$-409]dd\-mmm\-yy;@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color indexed="17"/>
      <name val="Arial"/>
      <family val="2"/>
    </font>
    <font>
      <sz val="10"/>
      <color indexed="45"/>
      <name val="Arial"/>
      <family val="2"/>
    </font>
    <font>
      <i/>
      <sz val="10"/>
      <color indexed="53"/>
      <name val="Arial"/>
      <family val="2"/>
    </font>
    <font>
      <b/>
      <sz val="10"/>
      <color indexed="17"/>
      <name val="Arial"/>
      <family val="2"/>
    </font>
    <font>
      <sz val="10"/>
      <color indexed="36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u val="single"/>
      <sz val="10"/>
      <color rgb="FF00B050"/>
      <name val="Arial"/>
      <family val="2"/>
    </font>
    <font>
      <sz val="10"/>
      <color rgb="FFFF66FF"/>
      <name val="Arial"/>
      <family val="2"/>
    </font>
    <font>
      <sz val="10"/>
      <color rgb="FF7030A0"/>
      <name val="Arial"/>
      <family val="2"/>
    </font>
    <font>
      <sz val="10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7" fontId="8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5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170" fontId="5" fillId="0" borderId="0" xfId="0" applyNumberFormat="1" applyFont="1" applyAlignment="1">
      <alignment horizontal="center" vertical="center" wrapText="1"/>
    </xf>
    <xf numFmtId="10" fontId="8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3" fillId="0" borderId="0" xfId="52" applyNumberFormat="1" applyFont="1" applyAlignment="1" applyProtection="1">
      <alignment horizontal="right"/>
      <protection/>
    </xf>
    <xf numFmtId="170" fontId="9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3" fillId="0" borderId="0" xfId="52" applyNumberFormat="1" applyFont="1" applyAlignment="1" applyProtection="1">
      <alignment horizontal="center"/>
      <protection/>
    </xf>
    <xf numFmtId="0" fontId="1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right"/>
    </xf>
    <xf numFmtId="169" fontId="52" fillId="0" borderId="0" xfId="0" applyNumberFormat="1" applyFont="1" applyAlignment="1">
      <alignment horizontal="right"/>
    </xf>
    <xf numFmtId="167" fontId="52" fillId="0" borderId="0" xfId="0" applyNumberFormat="1" applyFont="1" applyAlignment="1">
      <alignment horizontal="right"/>
    </xf>
    <xf numFmtId="10" fontId="52" fillId="0" borderId="0" xfId="0" applyNumberFormat="1" applyFont="1" applyAlignment="1">
      <alignment horizontal="center"/>
    </xf>
    <xf numFmtId="168" fontId="52" fillId="0" borderId="0" xfId="0" applyNumberFormat="1" applyFont="1" applyAlignment="1">
      <alignment horizontal="center"/>
    </xf>
    <xf numFmtId="166" fontId="52" fillId="0" borderId="0" xfId="0" applyNumberFormat="1" applyFont="1" applyAlignment="1">
      <alignment horizontal="center"/>
    </xf>
    <xf numFmtId="1" fontId="52" fillId="0" borderId="0" xfId="0" applyNumberFormat="1" applyFont="1" applyAlignment="1">
      <alignment horizontal="center"/>
    </xf>
    <xf numFmtId="3" fontId="52" fillId="0" borderId="0" xfId="0" applyNumberFormat="1" applyFont="1" applyAlignment="1">
      <alignment horizontal="center"/>
    </xf>
    <xf numFmtId="170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right"/>
    </xf>
    <xf numFmtId="3" fontId="53" fillId="0" borderId="0" xfId="52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right"/>
    </xf>
    <xf numFmtId="169" fontId="54" fillId="0" borderId="0" xfId="0" applyNumberFormat="1" applyFont="1" applyAlignment="1">
      <alignment horizontal="right"/>
    </xf>
    <xf numFmtId="167" fontId="54" fillId="0" borderId="0" xfId="0" applyNumberFormat="1" applyFont="1" applyAlignment="1">
      <alignment horizontal="right"/>
    </xf>
    <xf numFmtId="10" fontId="54" fillId="0" borderId="0" xfId="0" applyNumberFormat="1" applyFont="1" applyAlignment="1">
      <alignment horizontal="center"/>
    </xf>
    <xf numFmtId="168" fontId="54" fillId="0" borderId="0" xfId="0" applyNumberFormat="1" applyFont="1" applyAlignment="1">
      <alignment horizontal="center"/>
    </xf>
    <xf numFmtId="166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right"/>
    </xf>
    <xf numFmtId="167" fontId="54" fillId="0" borderId="0" xfId="0" applyNumberFormat="1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right"/>
    </xf>
    <xf numFmtId="169" fontId="51" fillId="0" borderId="0" xfId="0" applyNumberFormat="1" applyFont="1" applyAlignment="1">
      <alignment horizontal="right"/>
    </xf>
    <xf numFmtId="167" fontId="51" fillId="0" borderId="0" xfId="0" applyNumberFormat="1" applyFont="1" applyAlignment="1">
      <alignment horizontal="right"/>
    </xf>
    <xf numFmtId="10" fontId="51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center"/>
    </xf>
    <xf numFmtId="1" fontId="51" fillId="0" borderId="0" xfId="0" applyNumberFormat="1" applyFont="1" applyAlignment="1">
      <alignment horizontal="center"/>
    </xf>
    <xf numFmtId="3" fontId="51" fillId="0" borderId="0" xfId="0" applyNumberFormat="1" applyFont="1" applyAlignment="1">
      <alignment horizontal="center"/>
    </xf>
    <xf numFmtId="17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right"/>
    </xf>
    <xf numFmtId="3" fontId="0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0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3" fontId="15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10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170" fontId="15" fillId="0" borderId="0" xfId="0" applyNumberFormat="1" applyFont="1" applyAlignment="1">
      <alignment horizontal="center"/>
    </xf>
    <xf numFmtId="169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center"/>
    </xf>
    <xf numFmtId="170" fontId="16" fillId="0" borderId="0" xfId="0" applyNumberFormat="1" applyFont="1" applyAlignment="1">
      <alignment horizontal="center"/>
    </xf>
    <xf numFmtId="169" fontId="16" fillId="0" borderId="0" xfId="0" applyNumberFormat="1" applyFont="1" applyAlignment="1">
      <alignment horizontal="right"/>
    </xf>
    <xf numFmtId="10" fontId="16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center"/>
    </xf>
    <xf numFmtId="10" fontId="8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"/>
    </xf>
    <xf numFmtId="3" fontId="56" fillId="0" borderId="0" xfId="0" applyNumberFormat="1" applyFont="1" applyAlignment="1">
      <alignment horizontal="right"/>
    </xf>
    <xf numFmtId="3" fontId="56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/>
    </xf>
    <xf numFmtId="169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9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"/>
    </xf>
    <xf numFmtId="169" fontId="52" fillId="0" borderId="0" xfId="0" applyNumberFormat="1" applyFont="1" applyAlignment="1">
      <alignment horizontal="center"/>
    </xf>
    <xf numFmtId="169" fontId="54" fillId="0" borderId="0" xfId="0" applyNumberFormat="1" applyFont="1" applyAlignment="1">
      <alignment horizontal="center"/>
    </xf>
    <xf numFmtId="169" fontId="51" fillId="0" borderId="0" xfId="0" applyNumberFormat="1" applyFont="1" applyAlignment="1">
      <alignment horizontal="center"/>
    </xf>
    <xf numFmtId="170" fontId="3" fillId="0" borderId="0" xfId="52" applyNumberFormat="1" applyAlignment="1" applyProtection="1">
      <alignment horizontal="left"/>
      <protection/>
    </xf>
    <xf numFmtId="170" fontId="9" fillId="0" borderId="0" xfId="0" applyNumberFormat="1" applyFont="1" applyAlignment="1">
      <alignment horizontal="left"/>
    </xf>
    <xf numFmtId="170" fontId="52" fillId="0" borderId="0" xfId="0" applyNumberFormat="1" applyFont="1" applyAlignment="1">
      <alignment horizontal="left"/>
    </xf>
    <xf numFmtId="170" fontId="54" fillId="0" borderId="0" xfId="0" applyNumberFormat="1" applyFont="1" applyAlignment="1">
      <alignment horizontal="left"/>
    </xf>
    <xf numFmtId="170" fontId="51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170" fontId="8" fillId="0" borderId="0" xfId="0" applyNumberFormat="1" applyFont="1" applyAlignment="1">
      <alignment horizontal="left"/>
    </xf>
    <xf numFmtId="170" fontId="15" fillId="0" borderId="0" xfId="0" applyNumberFormat="1" applyFont="1" applyAlignment="1">
      <alignment horizontal="left"/>
    </xf>
    <xf numFmtId="170" fontId="16" fillId="0" borderId="0" xfId="0" applyNumberFormat="1" applyFont="1" applyAlignment="1">
      <alignment horizontal="left"/>
    </xf>
    <xf numFmtId="170" fontId="11" fillId="0" borderId="0" xfId="0" applyNumberFormat="1" applyFont="1" applyAlignment="1">
      <alignment horizontal="left"/>
    </xf>
    <xf numFmtId="170" fontId="6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52" applyFont="1" applyAlignment="1" applyProtection="1">
      <alignment horizontal="center" vertical="center" wrapText="1"/>
      <protection/>
    </xf>
    <xf numFmtId="16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7" fillId="0" borderId="0" xfId="52" applyNumberFormat="1" applyFont="1" applyAlignment="1" applyProtection="1">
      <alignment horizontal="center" vertical="center" wrapText="1"/>
      <protection/>
    </xf>
    <xf numFmtId="10" fontId="5" fillId="0" borderId="0" xfId="0" applyNumberFormat="1" applyFont="1" applyAlignment="1">
      <alignment horizontal="center" vertical="center" wrapText="1"/>
    </xf>
    <xf numFmtId="170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strike val="0"/>
        <color rgb="FFFF0000"/>
      </font>
    </dxf>
    <dxf>
      <font>
        <strike val="0"/>
        <color rgb="FFFF66FF"/>
      </font>
    </dxf>
    <dxf>
      <font>
        <b/>
        <i val="0"/>
        <strike val="0"/>
        <color rgb="FF0000FF"/>
      </font>
    </dxf>
    <dxf>
      <font>
        <b/>
        <i val="0"/>
        <strike val="0"/>
        <color rgb="FF00B050"/>
      </font>
    </dxf>
    <dxf>
      <font>
        <strike val="0"/>
        <color rgb="FFFF0000"/>
      </font>
    </dxf>
    <dxf>
      <font>
        <strike val="0"/>
        <color rgb="FFFF66FF"/>
      </font>
    </dxf>
    <dxf>
      <font>
        <b/>
        <i val="0"/>
        <strike val="0"/>
        <color rgb="FF0000FF"/>
      </font>
    </dxf>
    <dxf>
      <font>
        <b/>
        <i val="0"/>
        <strike val="0"/>
        <color rgb="FF00B050"/>
      </font>
    </dxf>
    <dxf>
      <font>
        <b/>
        <i val="0"/>
        <color indexed="53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crkba.org/pub/rkba/press-releases/ccw1998.html" TargetMode="External" /><Relationship Id="rId2" Type="http://schemas.openxmlformats.org/officeDocument/2006/relationships/hyperlink" Target="http://amazon.com/o/ASIN/0965678415" TargetMode="External" /><Relationship Id="rId3" Type="http://schemas.openxmlformats.org/officeDocument/2006/relationships/hyperlink" Target="http://www.ccrkba.org/pub/rkba/Legal/ccwmap.gif" TargetMode="External" /><Relationship Id="rId4" Type="http://schemas.openxmlformats.org/officeDocument/2006/relationships/hyperlink" Target="http://www.census.gov/popest/eval-estimates/eval-est2010.html" TargetMode="External" /><Relationship Id="rId5" Type="http://schemas.openxmlformats.org/officeDocument/2006/relationships/hyperlink" Target="http://www.census.gov/population/www/cen2000/respop.html" TargetMode="External" /><Relationship Id="rId6" Type="http://schemas.openxmlformats.org/officeDocument/2006/relationships/hyperlink" Target="http://www.census.gov/population/projections/SummaryTabB1.pdf" TargetMode="External" /><Relationship Id="rId7" Type="http://schemas.openxmlformats.org/officeDocument/2006/relationships/hyperlink" Target="http://www.census.gov/prod/cen2010/briefs/c2010br-03.pdf" TargetMode="External" /><Relationship Id="rId8" Type="http://schemas.openxmlformats.org/officeDocument/2006/relationships/hyperlink" Target="http://factfinder2.census.gov/faces/tableservices/jsf/pages/productview.xhtml?pid=DEC_10_SF1_QTP1&amp;prodType=table" TargetMode="External" /><Relationship Id="rId9" Type="http://schemas.openxmlformats.org/officeDocument/2006/relationships/hyperlink" Target="http://www.census.gov/population/projections/SummaryTabB1.pdf" TargetMode="External" /><Relationship Id="rId10" Type="http://schemas.openxmlformats.org/officeDocument/2006/relationships/hyperlink" Target="http://www.nh.gov/safety/divisions/nhsp/ssb/permitslicensing/index.html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3" sqref="D3"/>
    </sheetView>
  </sheetViews>
  <sheetFormatPr defaultColWidth="9.140625" defaultRowHeight="12.75"/>
  <cols>
    <col min="1" max="1" width="2.00390625" style="4" bestFit="1" customWidth="1"/>
    <col min="2" max="2" width="10.8515625" style="121" bestFit="1" customWidth="1"/>
    <col min="3" max="3" width="15.421875" style="9" bestFit="1" customWidth="1"/>
    <col min="4" max="4" width="8.421875" style="9" bestFit="1" customWidth="1"/>
    <col min="5" max="5" width="5.7109375" style="9" bestFit="1" customWidth="1"/>
    <col min="6" max="6" width="7.421875" style="9" bestFit="1" customWidth="1"/>
    <col min="7" max="7" width="9.140625" style="7" bestFit="1" customWidth="1"/>
    <col min="8" max="8" width="11.421875" style="78" bestFit="1" customWidth="1"/>
    <col min="9" max="9" width="7.421875" style="78" bestFit="1" customWidth="1"/>
    <col min="10" max="10" width="11.7109375" style="79" bestFit="1" customWidth="1"/>
    <col min="11" max="11" width="1.7109375" style="5" customWidth="1"/>
    <col min="12" max="12" width="8.140625" style="5" bestFit="1" customWidth="1"/>
    <col min="13" max="13" width="12.57421875" style="7" bestFit="1" customWidth="1"/>
    <col min="14" max="14" width="1.7109375" style="7" customWidth="1"/>
    <col min="15" max="15" width="10.421875" style="7" bestFit="1" customWidth="1"/>
    <col min="16" max="16" width="1.7109375" style="7" customWidth="1"/>
    <col min="17" max="17" width="8.00390625" style="81" bestFit="1" customWidth="1"/>
    <col min="18" max="18" width="7.140625" style="82" bestFit="1" customWidth="1"/>
    <col min="19" max="19" width="5.57421875" style="10" bestFit="1" customWidth="1"/>
    <col min="20" max="20" width="5.8515625" style="9" bestFit="1" customWidth="1"/>
    <col min="21" max="21" width="8.00390625" style="14" bestFit="1" customWidth="1"/>
    <col min="22" max="22" width="7.140625" style="14" bestFit="1" customWidth="1"/>
    <col min="23" max="23" width="5.57421875" style="14" bestFit="1" customWidth="1"/>
    <col min="24" max="24" width="1.7109375" style="7" customWidth="1"/>
    <col min="25" max="25" width="6.57421875" style="78" bestFit="1" customWidth="1"/>
    <col min="26" max="26" width="1.7109375" style="9" customWidth="1"/>
    <col min="27" max="28" width="13.28125" style="7" bestFit="1" customWidth="1"/>
    <col min="29" max="29" width="1.7109375" style="10" customWidth="1"/>
    <col min="30" max="30" width="9.8515625" style="10" bestFit="1" customWidth="1"/>
    <col min="31" max="32" width="12.57421875" style="10" bestFit="1" customWidth="1"/>
    <col min="33" max="33" width="1.7109375" style="10" customWidth="1"/>
    <col min="34" max="34" width="10.8515625" style="10" bestFit="1" customWidth="1"/>
    <col min="35" max="35" width="1.7109375" style="10" customWidth="1"/>
    <col min="36" max="36" width="17.57421875" style="7" bestFit="1" customWidth="1"/>
    <col min="37" max="37" width="5.57421875" style="10" bestFit="1" customWidth="1"/>
    <col min="38" max="38" width="1.7109375" style="10" customWidth="1"/>
    <col min="39" max="39" width="9.140625" style="7" bestFit="1" customWidth="1"/>
    <col min="40" max="40" width="7.57421875" style="7" bestFit="1" customWidth="1"/>
    <col min="41" max="41" width="7.57421875" style="7" customWidth="1"/>
    <col min="42" max="42" width="8.140625" style="7" bestFit="1" customWidth="1"/>
    <col min="43" max="43" width="9.7109375" style="83" bestFit="1" customWidth="1"/>
    <col min="44" max="44" width="105.57421875" style="138" bestFit="1" customWidth="1"/>
    <col min="45" max="45" width="11.140625" style="7" bestFit="1" customWidth="1"/>
    <col min="46" max="46" width="11.57421875" style="84" bestFit="1" customWidth="1"/>
    <col min="47" max="47" width="13.421875" style="7" bestFit="1" customWidth="1"/>
    <col min="48" max="48" width="1.7109375" style="10" customWidth="1"/>
    <col min="49" max="49" width="11.140625" style="7" bestFit="1" customWidth="1"/>
    <col min="50" max="50" width="13.8515625" style="7" bestFit="1" customWidth="1"/>
    <col min="51" max="52" width="11.140625" style="7" bestFit="1" customWidth="1"/>
    <col min="53" max="53" width="13.140625" style="7" bestFit="1" customWidth="1"/>
    <col min="54" max="54" width="10.8515625" style="7" bestFit="1" customWidth="1"/>
    <col min="55" max="55" width="13.140625" style="7" bestFit="1" customWidth="1"/>
    <col min="56" max="56" width="1.7109375" style="7" customWidth="1"/>
    <col min="57" max="57" width="12.421875" style="7" bestFit="1" customWidth="1"/>
    <col min="58" max="58" width="10.8515625" style="7" bestFit="1" customWidth="1"/>
    <col min="59" max="59" width="1.7109375" style="7" customWidth="1"/>
    <col min="60" max="60" width="11.140625" style="7" bestFit="1" customWidth="1"/>
    <col min="61" max="61" width="7.28125" style="10" bestFit="1" customWidth="1"/>
    <col min="62" max="16384" width="9.140625" style="12" customWidth="1"/>
  </cols>
  <sheetData>
    <row r="1" spans="2:61" ht="39.75" customHeight="1">
      <c r="B1" s="159" t="s">
        <v>57</v>
      </c>
      <c r="C1" s="155" t="s">
        <v>50</v>
      </c>
      <c r="D1" s="155" t="s">
        <v>72</v>
      </c>
      <c r="E1" s="155" t="s">
        <v>108</v>
      </c>
      <c r="F1" s="155" t="s">
        <v>107</v>
      </c>
      <c r="G1" s="155" t="s">
        <v>70</v>
      </c>
      <c r="H1" s="155"/>
      <c r="I1" s="155"/>
      <c r="J1" s="155"/>
      <c r="L1" s="155" t="s">
        <v>77</v>
      </c>
      <c r="M1" s="6" t="s">
        <v>80</v>
      </c>
      <c r="O1" s="155" t="s">
        <v>81</v>
      </c>
      <c r="P1" s="8"/>
      <c r="Q1" s="160" t="s">
        <v>89</v>
      </c>
      <c r="R1" s="160"/>
      <c r="S1" s="160"/>
      <c r="T1" s="155" t="s">
        <v>62</v>
      </c>
      <c r="U1" s="160" t="s">
        <v>90</v>
      </c>
      <c r="V1" s="160"/>
      <c r="W1" s="160"/>
      <c r="Y1" s="155" t="s">
        <v>66</v>
      </c>
      <c r="AA1" s="155" t="s">
        <v>78</v>
      </c>
      <c r="AB1" s="155" t="s">
        <v>79</v>
      </c>
      <c r="AD1" s="155" t="s">
        <v>91</v>
      </c>
      <c r="AE1" s="155" t="s">
        <v>92</v>
      </c>
      <c r="AF1" s="155" t="s">
        <v>93</v>
      </c>
      <c r="AG1" s="8"/>
      <c r="AH1" s="155" t="s">
        <v>82</v>
      </c>
      <c r="AJ1" s="155" t="s">
        <v>96</v>
      </c>
      <c r="AK1" s="154" t="s">
        <v>59</v>
      </c>
      <c r="AM1" s="158" t="s">
        <v>60</v>
      </c>
      <c r="AN1" s="158" t="s">
        <v>61</v>
      </c>
      <c r="AO1" s="158" t="s">
        <v>106</v>
      </c>
      <c r="AP1" s="158" t="s">
        <v>69</v>
      </c>
      <c r="AQ1" s="161" t="s">
        <v>68</v>
      </c>
      <c r="AR1" s="155" t="s">
        <v>114</v>
      </c>
      <c r="AS1" s="156" t="s">
        <v>63</v>
      </c>
      <c r="AT1" s="157" t="s">
        <v>67</v>
      </c>
      <c r="AU1" s="156" t="s">
        <v>58</v>
      </c>
      <c r="AW1" s="156" t="s">
        <v>97</v>
      </c>
      <c r="AX1" s="156" t="s">
        <v>98</v>
      </c>
      <c r="AY1" s="155" t="s">
        <v>99</v>
      </c>
      <c r="AZ1" s="155" t="s">
        <v>105</v>
      </c>
      <c r="BA1" s="156" t="s">
        <v>100</v>
      </c>
      <c r="BB1" s="156" t="s">
        <v>103</v>
      </c>
      <c r="BC1" s="156" t="s">
        <v>51</v>
      </c>
      <c r="BD1" s="11"/>
      <c r="BE1" s="155" t="s">
        <v>146</v>
      </c>
      <c r="BF1" s="155" t="s">
        <v>102</v>
      </c>
      <c r="BH1" s="156" t="s">
        <v>101</v>
      </c>
      <c r="BI1" s="154" t="s">
        <v>59</v>
      </c>
    </row>
    <row r="2" spans="2:61" s="8" customFormat="1" ht="12" customHeight="1">
      <c r="B2" s="159"/>
      <c r="C2" s="155"/>
      <c r="D2" s="155"/>
      <c r="E2" s="155"/>
      <c r="F2" s="155"/>
      <c r="G2" s="8" t="s">
        <v>84</v>
      </c>
      <c r="H2" s="8" t="s">
        <v>85</v>
      </c>
      <c r="I2" s="8" t="s">
        <v>110</v>
      </c>
      <c r="J2" s="13" t="s">
        <v>86</v>
      </c>
      <c r="L2" s="155"/>
      <c r="M2" s="14">
        <f>AA54/AB54</f>
        <v>0.04243668998809183</v>
      </c>
      <c r="N2" s="15"/>
      <c r="O2" s="155"/>
      <c r="Q2" s="3" t="s">
        <v>87</v>
      </c>
      <c r="R2" s="3" t="s">
        <v>88</v>
      </c>
      <c r="S2" s="3" t="s">
        <v>59</v>
      </c>
      <c r="T2" s="155"/>
      <c r="U2" s="3" t="s">
        <v>87</v>
      </c>
      <c r="V2" s="3" t="s">
        <v>88</v>
      </c>
      <c r="W2" s="3" t="s">
        <v>59</v>
      </c>
      <c r="Y2" s="155"/>
      <c r="AA2" s="155"/>
      <c r="AB2" s="155"/>
      <c r="AC2" s="16"/>
      <c r="AD2" s="155"/>
      <c r="AE2" s="155"/>
      <c r="AF2" s="155"/>
      <c r="AH2" s="155"/>
      <c r="AI2" s="16"/>
      <c r="AJ2" s="155"/>
      <c r="AK2" s="154"/>
      <c r="AL2" s="16"/>
      <c r="AM2" s="158"/>
      <c r="AN2" s="158"/>
      <c r="AO2" s="158"/>
      <c r="AP2" s="158"/>
      <c r="AQ2" s="161"/>
      <c r="AR2" s="155"/>
      <c r="AS2" s="156"/>
      <c r="AT2" s="157"/>
      <c r="AU2" s="156"/>
      <c r="AV2" s="16"/>
      <c r="AW2" s="156"/>
      <c r="AX2" s="156"/>
      <c r="AY2" s="155"/>
      <c r="AZ2" s="155"/>
      <c r="BA2" s="156"/>
      <c r="BB2" s="156"/>
      <c r="BC2" s="156"/>
      <c r="BD2" s="11"/>
      <c r="BE2" s="155"/>
      <c r="BF2" s="155"/>
      <c r="BH2" s="156"/>
      <c r="BI2" s="154"/>
    </row>
    <row r="3" spans="1:61" s="32" customFormat="1" ht="12.75">
      <c r="A3" s="17">
        <f aca="true" t="shared" si="0" ref="A3:A23">LOOKUP(B3,B$61:B$64,A$61:A$64)</f>
        <v>2</v>
      </c>
      <c r="B3" s="18" t="s">
        <v>53</v>
      </c>
      <c r="C3" s="17" t="s">
        <v>28</v>
      </c>
      <c r="D3" s="17" t="s">
        <v>71</v>
      </c>
      <c r="E3" s="18">
        <f aca="true" t="shared" si="1" ref="E3:E34">IF(F3="Y","",IF(D3="Y",IF(VALUE(_xlfn.IFERROR(DATEDIF(J3,C$66,"y"),99))&gt;1,"Y",""),""))</f>
      </c>
      <c r="F3" s="17"/>
      <c r="G3" s="19">
        <f aca="true" t="shared" si="2" ref="G3:G34">IF(D3="Y",IF(AQ3&lt;&gt;"",IF(AQ3&gt;AT3,AP3,AS3),IF(AS3&gt;0,AS3,IF(AU3&gt;0,AU3,""))),"")</f>
        <v>217179</v>
      </c>
      <c r="H3" s="20" t="str">
        <f aca="true" t="shared" si="3" ref="H3:H34">IF(G3&lt;&gt;"",IF(AP3=G3,"Official",IF(AS3=G3,"Bird",IF(AU3=G3,"CCRKBA",""))),"")</f>
        <v>Official</v>
      </c>
      <c r="I3" s="20" t="str">
        <f aca="true" t="shared" si="4" ref="I3:I34">IF(H3="Official",IF(AM3&gt;0,"Link",IF(AN3&gt;0,"Email",IF(AO3&gt;0,"SWAG",""))),"")</f>
        <v>SWAG</v>
      </c>
      <c r="J3" s="126">
        <f aca="true" t="shared" si="5" ref="J3:J34">IF(H3="Official",AQ3,IF(H3="Bird",AT3,IF(H3="CCRKBA",DATE(1998,12,22),"")))</f>
        <v>40543</v>
      </c>
      <c r="K3" s="22"/>
      <c r="L3" s="23"/>
      <c r="M3" s="19">
        <f aca="true" t="shared" si="6" ref="M3:M34">IF(D3="Y",IF(G3="",IF(L3="",$M$2*AJ3,L3*AJ3),""),"")</f>
      </c>
      <c r="N3" s="19"/>
      <c r="O3" s="19">
        <f aca="true" t="shared" si="7" ref="O3:O34">IF(G3="",IF(M3="","",M3),G3)</f>
        <v>217179</v>
      </c>
      <c r="P3" s="19"/>
      <c r="Q3" s="24">
        <f aca="true" t="shared" si="8" ref="Q3:Q34">IF(O3="","",O3/AJ3)</f>
        <v>0.2110099141499131</v>
      </c>
      <c r="R3" s="25">
        <f aca="true" t="shared" si="9" ref="R3:R34">IF(Q3="","",IF(Q3&gt;0,ROUNDUP(1/Q3,1),""))</f>
        <v>4.8</v>
      </c>
      <c r="S3" s="26">
        <f aca="true" t="shared" si="10" ref="S3:S34">IF(R3="",IF(D3="Y",99,""),RANK(Q3,Q$3:Q$52))</f>
        <v>1</v>
      </c>
      <c r="T3" s="17">
        <v>18</v>
      </c>
      <c r="U3" s="24">
        <f aca="true" t="shared" si="11" ref="U3:U34">IF(Q3="","",O3/BH3)</f>
        <v>0.16497071714509257</v>
      </c>
      <c r="V3" s="25">
        <f aca="true" t="shared" si="12" ref="V3:V34">IF(U3="","",IF(U3&gt;0,ROUNDUP(1/U3,1),""))</f>
        <v>6.1</v>
      </c>
      <c r="W3" s="26">
        <f aca="true" t="shared" si="13" ref="W3:W34">IF(V3="",IF(D3="Y",99,""),RANK(U3,U$3:U$52))</f>
        <v>1</v>
      </c>
      <c r="X3" s="19"/>
      <c r="Y3" s="27" t="s">
        <v>64</v>
      </c>
      <c r="Z3" s="17"/>
      <c r="AA3" s="19">
        <f aca="true" t="shared" si="14" ref="AA3:AA34">IF(AB3="","",G3)</f>
        <v>217179</v>
      </c>
      <c r="AB3" s="19">
        <f aca="true" t="shared" si="15" ref="AB3:AB34">IF(B3="Shall Issue",IF(D3="Y",IF(H3="","",AJ3),""),"")</f>
        <v>1029236.0000000001</v>
      </c>
      <c r="AC3" s="26"/>
      <c r="AD3" s="19">
        <f aca="true" t="shared" si="16" ref="AD3:AD34">IF(Y3="Old",G3,"")</f>
        <v>217179</v>
      </c>
      <c r="AE3" s="19">
        <f aca="true" t="shared" si="17" ref="AE3:AE34">IF(AD3="","",AJ3)</f>
        <v>1029236.0000000001</v>
      </c>
      <c r="AF3" s="19">
        <f aca="true" t="shared" si="18" ref="AF3:AF34">IF(AE3="","",BH3)</f>
        <v>1316470</v>
      </c>
      <c r="AG3" s="19"/>
      <c r="AH3" s="19">
        <f aca="true" t="shared" si="19" ref="AH3:AH34">IF(Y3="Old",BH3,"")</f>
        <v>1316470</v>
      </c>
      <c r="AI3" s="26"/>
      <c r="AJ3" s="19">
        <f aca="true" t="shared" si="20" ref="AJ3:AJ34">BF3/AW3*BH3</f>
        <v>1029236.0000000001</v>
      </c>
      <c r="AK3" s="26">
        <f aca="true" t="shared" si="21" ref="AK3:AK34">RANK(AJ3,AJ$3:AJ$52)</f>
        <v>41</v>
      </c>
      <c r="AL3" s="26"/>
      <c r="AM3" s="19"/>
      <c r="AN3" s="19"/>
      <c r="AO3" s="1">
        <v>217179</v>
      </c>
      <c r="AP3" s="19">
        <f aca="true" t="shared" si="22" ref="AP3:AP34">IF(AM3&lt;&gt;"",AM3,IF(AN3&lt;&gt;"",AN3,IF(AO3&lt;&gt;"",AO3,"")))</f>
        <v>217179</v>
      </c>
      <c r="AQ3" s="29">
        <v>40543</v>
      </c>
      <c r="AR3" s="133" t="s">
        <v>115</v>
      </c>
      <c r="AS3" s="19"/>
      <c r="AT3" s="21"/>
      <c r="AU3" s="19"/>
      <c r="AV3" s="26"/>
      <c r="AW3" s="19">
        <v>1316470</v>
      </c>
      <c r="AX3" s="19">
        <v>287234</v>
      </c>
      <c r="AY3" s="19">
        <f aca="true" t="shared" si="23" ref="AY3:AY34">IF(T3=18,AW3-AX3,"")</f>
        <v>1029236</v>
      </c>
      <c r="AZ3" s="19">
        <f aca="true" t="shared" si="24" ref="AZ3:AZ34">IF(BA3="",BC3/BB3*AW3,BA3)</f>
        <v>972077</v>
      </c>
      <c r="BA3" s="19">
        <v>972077</v>
      </c>
      <c r="BB3" s="30">
        <v>1235786</v>
      </c>
      <c r="BC3" s="19">
        <v>875763</v>
      </c>
      <c r="BD3" s="31"/>
      <c r="BE3" s="19"/>
      <c r="BF3" s="19">
        <f aca="true" t="shared" si="25" ref="BF3:BF34">IF(T3=18,AY3,IF(T3&gt;21,BE3,AZ3))</f>
        <v>1029236</v>
      </c>
      <c r="BG3" s="19"/>
      <c r="BH3" s="19">
        <f aca="true" t="shared" si="26" ref="BH3:BH34">AW3</f>
        <v>1316470</v>
      </c>
      <c r="BI3" s="26">
        <f aca="true" t="shared" si="27" ref="BI3:BI34">RANK(BH3,BH$3:BH$52)</f>
        <v>42</v>
      </c>
    </row>
    <row r="4" spans="1:61" s="32" customFormat="1" ht="12.75">
      <c r="A4" s="17">
        <f t="shared" si="0"/>
        <v>2</v>
      </c>
      <c r="B4" s="18" t="s">
        <v>53</v>
      </c>
      <c r="C4" s="17" t="s">
        <v>40</v>
      </c>
      <c r="D4" s="17" t="s">
        <v>71</v>
      </c>
      <c r="E4" s="18">
        <f t="shared" si="1"/>
      </c>
      <c r="F4" s="17"/>
      <c r="G4" s="19">
        <f t="shared" si="2"/>
        <v>55770</v>
      </c>
      <c r="H4" s="20" t="str">
        <f t="shared" si="3"/>
        <v>Official</v>
      </c>
      <c r="I4" s="20" t="str">
        <f t="shared" si="4"/>
        <v>Link</v>
      </c>
      <c r="J4" s="126">
        <f t="shared" si="5"/>
        <v>40182</v>
      </c>
      <c r="K4" s="22"/>
      <c r="L4" s="23"/>
      <c r="M4" s="19">
        <f t="shared" si="6"/>
      </c>
      <c r="N4" s="19"/>
      <c r="O4" s="19">
        <f t="shared" si="7"/>
        <v>55770</v>
      </c>
      <c r="P4" s="19"/>
      <c r="Q4" s="24">
        <f t="shared" si="8"/>
        <v>0.09121941565270869</v>
      </c>
      <c r="R4" s="25">
        <f t="shared" si="9"/>
        <v>11</v>
      </c>
      <c r="S4" s="26">
        <f t="shared" si="10"/>
        <v>2</v>
      </c>
      <c r="T4" s="17">
        <v>18</v>
      </c>
      <c r="U4" s="24">
        <f t="shared" si="11"/>
        <v>0.06849836645459235</v>
      </c>
      <c r="V4" s="25">
        <f t="shared" si="12"/>
        <v>14.6</v>
      </c>
      <c r="W4" s="26">
        <f t="shared" si="13"/>
        <v>2</v>
      </c>
      <c r="X4" s="19"/>
      <c r="Y4" s="27" t="s">
        <v>64</v>
      </c>
      <c r="Z4" s="17"/>
      <c r="AA4" s="19">
        <f t="shared" si="14"/>
        <v>55770</v>
      </c>
      <c r="AB4" s="19">
        <f t="shared" si="15"/>
        <v>611383</v>
      </c>
      <c r="AC4" s="26"/>
      <c r="AD4" s="19">
        <f t="shared" si="16"/>
        <v>55770</v>
      </c>
      <c r="AE4" s="19">
        <f t="shared" si="17"/>
        <v>611383</v>
      </c>
      <c r="AF4" s="19">
        <f t="shared" si="18"/>
        <v>814180</v>
      </c>
      <c r="AG4" s="19"/>
      <c r="AH4" s="19">
        <f t="shared" si="19"/>
        <v>814180</v>
      </c>
      <c r="AI4" s="26"/>
      <c r="AJ4" s="19">
        <f t="shared" si="20"/>
        <v>611383</v>
      </c>
      <c r="AK4" s="26">
        <f t="shared" si="21"/>
        <v>47</v>
      </c>
      <c r="AL4" s="26"/>
      <c r="AM4" s="1">
        <v>55770</v>
      </c>
      <c r="AN4" s="19"/>
      <c r="AO4" s="19"/>
      <c r="AP4" s="19">
        <f t="shared" si="22"/>
        <v>55770</v>
      </c>
      <c r="AQ4" s="29">
        <v>40182</v>
      </c>
      <c r="AR4" s="134" t="s">
        <v>116</v>
      </c>
      <c r="AS4" s="19">
        <v>41672</v>
      </c>
      <c r="AT4" s="21">
        <v>38057</v>
      </c>
      <c r="AU4" s="19">
        <v>47853</v>
      </c>
      <c r="AV4" s="26"/>
      <c r="AW4" s="19">
        <v>814180</v>
      </c>
      <c r="AX4" s="19">
        <v>202797</v>
      </c>
      <c r="AY4" s="19">
        <f t="shared" si="23"/>
        <v>611383</v>
      </c>
      <c r="AZ4" s="19">
        <f t="shared" si="24"/>
        <v>575533</v>
      </c>
      <c r="BA4" s="19">
        <v>575533</v>
      </c>
      <c r="BB4" s="30">
        <v>754844</v>
      </c>
      <c r="BC4" s="19">
        <v>515188</v>
      </c>
      <c r="BD4" s="31"/>
      <c r="BE4" s="19"/>
      <c r="BF4" s="19">
        <f t="shared" si="25"/>
        <v>611383</v>
      </c>
      <c r="BG4" s="19"/>
      <c r="BH4" s="19">
        <f t="shared" si="26"/>
        <v>814180</v>
      </c>
      <c r="BI4" s="26">
        <f t="shared" si="27"/>
        <v>46</v>
      </c>
    </row>
    <row r="5" spans="1:61" s="33" customFormat="1" ht="12.75">
      <c r="A5" s="17">
        <f t="shared" si="0"/>
        <v>2</v>
      </c>
      <c r="B5" s="18" t="s">
        <v>53</v>
      </c>
      <c r="C5" s="17" t="s">
        <v>43</v>
      </c>
      <c r="D5" s="17" t="s">
        <v>71</v>
      </c>
      <c r="E5" s="18">
        <f t="shared" si="1"/>
      </c>
      <c r="F5" s="17"/>
      <c r="G5" s="19">
        <f t="shared" si="2"/>
        <v>141588</v>
      </c>
      <c r="H5" s="20" t="str">
        <f t="shared" si="3"/>
        <v>Official</v>
      </c>
      <c r="I5" s="20" t="str">
        <f t="shared" si="4"/>
        <v>Email</v>
      </c>
      <c r="J5" s="126">
        <f t="shared" si="5"/>
        <v>40724</v>
      </c>
      <c r="K5" s="22"/>
      <c r="L5" s="23"/>
      <c r="M5" s="19">
        <f t="shared" si="6"/>
      </c>
      <c r="N5" s="19"/>
      <c r="O5" s="19">
        <f t="shared" si="7"/>
        <v>141588</v>
      </c>
      <c r="P5" s="19"/>
      <c r="Q5" s="24">
        <f t="shared" si="8"/>
        <v>0.08048687316103742</v>
      </c>
      <c r="R5" s="25">
        <f t="shared" si="9"/>
        <v>12.5</v>
      </c>
      <c r="S5" s="26">
        <f t="shared" si="10"/>
        <v>3</v>
      </c>
      <c r="T5" s="17">
        <v>21</v>
      </c>
      <c r="U5" s="24">
        <f t="shared" si="11"/>
        <v>0.051227891174922255</v>
      </c>
      <c r="V5" s="25">
        <f t="shared" si="12"/>
        <v>19.6</v>
      </c>
      <c r="W5" s="26">
        <f t="shared" si="13"/>
        <v>4</v>
      </c>
      <c r="X5" s="19"/>
      <c r="Y5" s="20" t="s">
        <v>65</v>
      </c>
      <c r="Z5" s="17"/>
      <c r="AA5" s="19">
        <f t="shared" si="14"/>
        <v>141588</v>
      </c>
      <c r="AB5" s="19">
        <f t="shared" si="15"/>
        <v>1759143.9999999998</v>
      </c>
      <c r="AC5" s="26"/>
      <c r="AD5" s="19">
        <f t="shared" si="16"/>
      </c>
      <c r="AE5" s="19">
        <f t="shared" si="17"/>
      </c>
      <c r="AF5" s="19">
        <f t="shared" si="18"/>
      </c>
      <c r="AG5" s="19"/>
      <c r="AH5" s="19">
        <f t="shared" si="19"/>
      </c>
      <c r="AI5" s="26"/>
      <c r="AJ5" s="19">
        <f t="shared" si="20"/>
        <v>1759143.9999999998</v>
      </c>
      <c r="AK5" s="26">
        <f t="shared" si="21"/>
        <v>35</v>
      </c>
      <c r="AL5" s="26"/>
      <c r="AM5" s="28"/>
      <c r="AN5" s="1">
        <v>141588</v>
      </c>
      <c r="AO5" s="28"/>
      <c r="AP5" s="19">
        <f t="shared" si="22"/>
        <v>141588</v>
      </c>
      <c r="AQ5" s="29">
        <v>40724</v>
      </c>
      <c r="AR5" s="134" t="s">
        <v>117</v>
      </c>
      <c r="AS5" s="19">
        <v>57593</v>
      </c>
      <c r="AT5" s="21">
        <v>38046</v>
      </c>
      <c r="AU5" s="19">
        <v>18806</v>
      </c>
      <c r="AV5" s="26"/>
      <c r="AW5" s="19">
        <v>2763885</v>
      </c>
      <c r="AX5" s="19"/>
      <c r="AY5" s="19">
        <f t="shared" si="23"/>
      </c>
      <c r="AZ5" s="19">
        <f t="shared" si="24"/>
        <v>1759144</v>
      </c>
      <c r="BA5" s="19">
        <v>1759144</v>
      </c>
      <c r="BB5" s="30">
        <v>2233169</v>
      </c>
      <c r="BC5" s="19">
        <v>1379043</v>
      </c>
      <c r="BD5" s="31"/>
      <c r="BE5" s="19"/>
      <c r="BF5" s="19">
        <f t="shared" si="25"/>
        <v>1759144</v>
      </c>
      <c r="BG5" s="19"/>
      <c r="BH5" s="19">
        <f t="shared" si="26"/>
        <v>2763885</v>
      </c>
      <c r="BI5" s="26">
        <f t="shared" si="27"/>
        <v>34</v>
      </c>
    </row>
    <row r="6" spans="1:61" s="34" customFormat="1" ht="12.75">
      <c r="A6" s="17">
        <f t="shared" si="0"/>
        <v>2</v>
      </c>
      <c r="B6" s="18" t="s">
        <v>53</v>
      </c>
      <c r="C6" s="17" t="s">
        <v>37</v>
      </c>
      <c r="D6" s="17" t="s">
        <v>71</v>
      </c>
      <c r="E6" s="18">
        <f t="shared" si="1"/>
      </c>
      <c r="F6" s="17"/>
      <c r="G6" s="19">
        <f t="shared" si="2"/>
        <v>737014</v>
      </c>
      <c r="H6" s="20" t="str">
        <f t="shared" si="3"/>
        <v>Official</v>
      </c>
      <c r="I6" s="20" t="str">
        <f t="shared" si="4"/>
        <v>Link</v>
      </c>
      <c r="J6" s="126">
        <f t="shared" si="5"/>
        <v>40543</v>
      </c>
      <c r="K6" s="22"/>
      <c r="L6" s="23"/>
      <c r="M6" s="19">
        <f t="shared" si="6"/>
      </c>
      <c r="N6" s="19"/>
      <c r="O6" s="19">
        <f t="shared" si="7"/>
        <v>737014</v>
      </c>
      <c r="P6" s="19"/>
      <c r="Q6" s="24">
        <f t="shared" si="8"/>
        <v>0.07898513425127962</v>
      </c>
      <c r="R6" s="25">
        <f t="shared" si="9"/>
        <v>12.7</v>
      </c>
      <c r="S6" s="26">
        <f t="shared" si="10"/>
        <v>4</v>
      </c>
      <c r="T6" s="17">
        <v>21</v>
      </c>
      <c r="U6" s="24">
        <f t="shared" si="11"/>
        <v>0.058021729630331455</v>
      </c>
      <c r="V6" s="25">
        <f t="shared" si="12"/>
        <v>17.3</v>
      </c>
      <c r="W6" s="26">
        <f t="shared" si="13"/>
        <v>3</v>
      </c>
      <c r="X6" s="19"/>
      <c r="Y6" s="20" t="s">
        <v>65</v>
      </c>
      <c r="Z6" s="17"/>
      <c r="AA6" s="19">
        <f t="shared" si="14"/>
        <v>737014</v>
      </c>
      <c r="AB6" s="19">
        <f t="shared" si="15"/>
        <v>9331047</v>
      </c>
      <c r="AC6" s="26"/>
      <c r="AD6" s="19">
        <f t="shared" si="16"/>
      </c>
      <c r="AE6" s="19">
        <f t="shared" si="17"/>
      </c>
      <c r="AF6" s="19">
        <f t="shared" si="18"/>
      </c>
      <c r="AG6" s="19"/>
      <c r="AH6" s="19">
        <f t="shared" si="19"/>
      </c>
      <c r="AI6" s="26"/>
      <c r="AJ6" s="19">
        <f t="shared" si="20"/>
        <v>9331047</v>
      </c>
      <c r="AK6" s="26">
        <f t="shared" si="21"/>
        <v>5</v>
      </c>
      <c r="AL6" s="26"/>
      <c r="AM6" s="1">
        <f>737014</f>
        <v>737014</v>
      </c>
      <c r="AN6" s="19"/>
      <c r="AO6" s="19"/>
      <c r="AP6" s="19">
        <f t="shared" si="22"/>
        <v>737014</v>
      </c>
      <c r="AQ6" s="29">
        <v>40543</v>
      </c>
      <c r="AR6" s="134" t="s">
        <v>118</v>
      </c>
      <c r="AS6" s="19">
        <v>602171</v>
      </c>
      <c r="AT6" s="21">
        <v>38062</v>
      </c>
      <c r="AU6" s="19">
        <v>575000</v>
      </c>
      <c r="AV6" s="26"/>
      <c r="AW6" s="19">
        <v>12702379</v>
      </c>
      <c r="AX6" s="19"/>
      <c r="AY6" s="19">
        <f t="shared" si="23"/>
      </c>
      <c r="AZ6" s="19">
        <f t="shared" si="24"/>
        <v>9331047</v>
      </c>
      <c r="BA6" s="19">
        <v>9331047</v>
      </c>
      <c r="BB6" s="30">
        <v>12281054</v>
      </c>
      <c r="BC6" s="19">
        <v>8842276</v>
      </c>
      <c r="BD6" s="31"/>
      <c r="BE6" s="19"/>
      <c r="BF6" s="19">
        <f t="shared" si="25"/>
        <v>9331047</v>
      </c>
      <c r="BG6" s="19"/>
      <c r="BH6" s="19">
        <f t="shared" si="26"/>
        <v>12702379</v>
      </c>
      <c r="BI6" s="26">
        <f t="shared" si="27"/>
        <v>6</v>
      </c>
    </row>
    <row r="7" spans="1:61" s="32" customFormat="1" ht="12.75">
      <c r="A7" s="17">
        <f t="shared" si="0"/>
        <v>2</v>
      </c>
      <c r="B7" s="18" t="s">
        <v>53</v>
      </c>
      <c r="C7" s="17" t="s">
        <v>11</v>
      </c>
      <c r="D7" s="17" t="s">
        <v>71</v>
      </c>
      <c r="E7" s="18">
        <f t="shared" si="1"/>
      </c>
      <c r="F7" s="17"/>
      <c r="G7" s="19">
        <f t="shared" si="2"/>
        <v>77679</v>
      </c>
      <c r="H7" s="20" t="str">
        <f t="shared" si="3"/>
        <v>Official</v>
      </c>
      <c r="I7" s="20" t="str">
        <f t="shared" si="4"/>
        <v>Email</v>
      </c>
      <c r="J7" s="126">
        <f t="shared" si="5"/>
        <v>40771</v>
      </c>
      <c r="K7" s="22"/>
      <c r="L7" s="23"/>
      <c r="M7" s="19">
        <f t="shared" si="6"/>
      </c>
      <c r="N7" s="19"/>
      <c r="O7" s="19">
        <f t="shared" si="7"/>
        <v>77679</v>
      </c>
      <c r="P7" s="19"/>
      <c r="Q7" s="24">
        <f t="shared" si="8"/>
        <v>0.07259061561708892</v>
      </c>
      <c r="R7" s="25">
        <f t="shared" si="9"/>
        <v>13.799999999999999</v>
      </c>
      <c r="S7" s="26">
        <f t="shared" si="10"/>
        <v>5</v>
      </c>
      <c r="T7" s="17">
        <v>21</v>
      </c>
      <c r="U7" s="24">
        <f t="shared" si="11"/>
        <v>0.04955338859466363</v>
      </c>
      <c r="V7" s="25">
        <f t="shared" si="12"/>
        <v>20.200000000000003</v>
      </c>
      <c r="W7" s="26">
        <f t="shared" si="13"/>
        <v>6</v>
      </c>
      <c r="X7" s="19"/>
      <c r="Y7" s="20" t="s">
        <v>65</v>
      </c>
      <c r="Z7" s="17"/>
      <c r="AA7" s="19">
        <f t="shared" si="14"/>
        <v>77679</v>
      </c>
      <c r="AB7" s="19">
        <f t="shared" si="15"/>
        <v>1070097</v>
      </c>
      <c r="AC7" s="26"/>
      <c r="AD7" s="19">
        <f t="shared" si="16"/>
      </c>
      <c r="AE7" s="19">
        <f t="shared" si="17"/>
      </c>
      <c r="AF7" s="19">
        <f t="shared" si="18"/>
      </c>
      <c r="AG7" s="19"/>
      <c r="AH7" s="19">
        <f t="shared" si="19"/>
      </c>
      <c r="AI7" s="26"/>
      <c r="AJ7" s="19">
        <f t="shared" si="20"/>
        <v>1070097</v>
      </c>
      <c r="AK7" s="26">
        <f t="shared" si="21"/>
        <v>39</v>
      </c>
      <c r="AL7" s="26"/>
      <c r="AM7" s="19"/>
      <c r="AN7" s="19">
        <v>77679</v>
      </c>
      <c r="AO7" s="19"/>
      <c r="AP7" s="19">
        <f t="shared" si="22"/>
        <v>77679</v>
      </c>
      <c r="AQ7" s="29">
        <v>40771</v>
      </c>
      <c r="AR7" s="134" t="s">
        <v>144</v>
      </c>
      <c r="AS7" s="19">
        <v>39439</v>
      </c>
      <c r="AT7" s="21">
        <v>38027</v>
      </c>
      <c r="AU7" s="19">
        <v>35505</v>
      </c>
      <c r="AV7" s="26"/>
      <c r="AW7" s="19">
        <v>1567582</v>
      </c>
      <c r="AX7" s="19"/>
      <c r="AY7" s="19">
        <f t="shared" si="23"/>
      </c>
      <c r="AZ7" s="19">
        <f t="shared" si="24"/>
        <v>1070097</v>
      </c>
      <c r="BA7" s="19">
        <v>1070097</v>
      </c>
      <c r="BB7" s="30">
        <v>1293953</v>
      </c>
      <c r="BC7" s="19">
        <v>860220</v>
      </c>
      <c r="BD7" s="31"/>
      <c r="BE7" s="19"/>
      <c r="BF7" s="19">
        <f t="shared" si="25"/>
        <v>1070097</v>
      </c>
      <c r="BG7" s="19"/>
      <c r="BH7" s="19">
        <f t="shared" si="26"/>
        <v>1567582</v>
      </c>
      <c r="BI7" s="26">
        <f t="shared" si="27"/>
        <v>39</v>
      </c>
    </row>
    <row r="8" spans="1:61" s="33" customFormat="1" ht="12.75">
      <c r="A8" s="17">
        <f t="shared" si="0"/>
        <v>2</v>
      </c>
      <c r="B8" s="18" t="s">
        <v>53</v>
      </c>
      <c r="C8" s="17" t="s">
        <v>41</v>
      </c>
      <c r="D8" s="17" t="s">
        <v>71</v>
      </c>
      <c r="E8" s="18">
        <f t="shared" si="1"/>
      </c>
      <c r="F8" s="17"/>
      <c r="G8" s="19">
        <f t="shared" si="2"/>
        <v>317001</v>
      </c>
      <c r="H8" s="20" t="str">
        <f t="shared" si="3"/>
        <v>Official</v>
      </c>
      <c r="I8" s="20" t="str">
        <f t="shared" si="4"/>
        <v>Link</v>
      </c>
      <c r="J8" s="126">
        <f t="shared" si="5"/>
        <v>40634</v>
      </c>
      <c r="K8" s="22"/>
      <c r="L8" s="23"/>
      <c r="M8" s="19">
        <f t="shared" si="6"/>
      </c>
      <c r="N8" s="19"/>
      <c r="O8" s="19">
        <f t="shared" si="7"/>
        <v>317001</v>
      </c>
      <c r="P8" s="19"/>
      <c r="Q8" s="24">
        <f t="shared" si="8"/>
        <v>0.07023227517486993</v>
      </c>
      <c r="R8" s="25">
        <f t="shared" si="9"/>
        <v>14.299999999999999</v>
      </c>
      <c r="S8" s="26">
        <f t="shared" si="10"/>
        <v>6</v>
      </c>
      <c r="T8" s="17">
        <v>21</v>
      </c>
      <c r="U8" s="24">
        <f t="shared" si="11"/>
        <v>0.049952057206743346</v>
      </c>
      <c r="V8" s="25">
        <f t="shared" si="12"/>
        <v>20.1</v>
      </c>
      <c r="W8" s="26">
        <f t="shared" si="13"/>
        <v>5</v>
      </c>
      <c r="X8" s="19"/>
      <c r="Y8" s="20" t="s">
        <v>65</v>
      </c>
      <c r="Z8" s="17"/>
      <c r="AA8" s="19">
        <f t="shared" si="14"/>
        <v>317001</v>
      </c>
      <c r="AB8" s="19">
        <f t="shared" si="15"/>
        <v>4513608.582531401</v>
      </c>
      <c r="AC8" s="26"/>
      <c r="AD8" s="19">
        <f t="shared" si="16"/>
      </c>
      <c r="AE8" s="19">
        <f t="shared" si="17"/>
      </c>
      <c r="AF8" s="19">
        <f t="shared" si="18"/>
      </c>
      <c r="AG8" s="19"/>
      <c r="AH8" s="19">
        <f t="shared" si="19"/>
      </c>
      <c r="AI8" s="26"/>
      <c r="AJ8" s="19">
        <f t="shared" si="20"/>
        <v>4513608.582531401</v>
      </c>
      <c r="AK8" s="26">
        <f t="shared" si="21"/>
        <v>16</v>
      </c>
      <c r="AL8" s="26"/>
      <c r="AM8" s="1">
        <v>317001</v>
      </c>
      <c r="AN8" s="19"/>
      <c r="AO8" s="19"/>
      <c r="AP8" s="19">
        <f t="shared" si="22"/>
        <v>317001</v>
      </c>
      <c r="AQ8" s="29">
        <v>40634</v>
      </c>
      <c r="AR8" s="134" t="s">
        <v>119</v>
      </c>
      <c r="AS8" s="19">
        <v>143536</v>
      </c>
      <c r="AT8" s="21">
        <v>38057</v>
      </c>
      <c r="AU8" s="19">
        <v>33000</v>
      </c>
      <c r="AV8" s="26"/>
      <c r="AW8" s="19">
        <v>6346105</v>
      </c>
      <c r="AX8" s="19"/>
      <c r="AY8" s="19">
        <f t="shared" si="23"/>
      </c>
      <c r="AZ8" s="19">
        <f t="shared" si="24"/>
        <v>4513608.582531401</v>
      </c>
      <c r="BA8" s="19" t="s">
        <v>104</v>
      </c>
      <c r="BB8" s="30">
        <v>5689283</v>
      </c>
      <c r="BC8" s="19">
        <v>4046450</v>
      </c>
      <c r="BD8" s="31"/>
      <c r="BE8" s="19"/>
      <c r="BF8" s="19">
        <f t="shared" si="25"/>
        <v>4513608.582531401</v>
      </c>
      <c r="BG8" s="19"/>
      <c r="BH8" s="19">
        <f t="shared" si="26"/>
        <v>6346105</v>
      </c>
      <c r="BI8" s="26">
        <f t="shared" si="27"/>
        <v>17</v>
      </c>
    </row>
    <row r="9" spans="1:61" s="33" customFormat="1" ht="12.75">
      <c r="A9" s="17">
        <f t="shared" si="0"/>
        <v>2</v>
      </c>
      <c r="B9" s="18" t="s">
        <v>53</v>
      </c>
      <c r="C9" s="17" t="s">
        <v>46</v>
      </c>
      <c r="D9" s="17" t="s">
        <v>71</v>
      </c>
      <c r="E9" s="18">
        <f t="shared" si="1"/>
      </c>
      <c r="F9" s="17"/>
      <c r="G9" s="19">
        <f t="shared" si="2"/>
        <v>329153.944</v>
      </c>
      <c r="H9" s="20" t="str">
        <f t="shared" si="3"/>
        <v>Official</v>
      </c>
      <c r="I9" s="20" t="str">
        <f t="shared" si="4"/>
        <v>Email</v>
      </c>
      <c r="J9" s="126">
        <f t="shared" si="5"/>
        <v>40760</v>
      </c>
      <c r="K9" s="22"/>
      <c r="L9" s="23"/>
      <c r="M9" s="19">
        <f t="shared" si="6"/>
      </c>
      <c r="N9" s="19"/>
      <c r="O9" s="19">
        <f t="shared" si="7"/>
        <v>329153.944</v>
      </c>
      <c r="P9" s="19"/>
      <c r="Q9" s="24">
        <f t="shared" si="8"/>
        <v>0.06771935985140805</v>
      </c>
      <c r="R9" s="25">
        <f t="shared" si="9"/>
        <v>14.799999999999999</v>
      </c>
      <c r="S9" s="26">
        <f t="shared" si="10"/>
        <v>7</v>
      </c>
      <c r="T9" s="17">
        <v>21</v>
      </c>
      <c r="U9" s="24">
        <f t="shared" si="11"/>
        <v>0.04894817251440248</v>
      </c>
      <c r="V9" s="25">
        <f t="shared" si="12"/>
        <v>20.5</v>
      </c>
      <c r="W9" s="26">
        <f t="shared" si="13"/>
        <v>7</v>
      </c>
      <c r="X9" s="19"/>
      <c r="Y9" s="27" t="s">
        <v>64</v>
      </c>
      <c r="Z9" s="17"/>
      <c r="AA9" s="19">
        <f t="shared" si="14"/>
        <v>329153.944</v>
      </c>
      <c r="AB9" s="19">
        <f t="shared" si="15"/>
        <v>4860559</v>
      </c>
      <c r="AC9" s="26"/>
      <c r="AD9" s="19">
        <f t="shared" si="16"/>
        <v>329153.944</v>
      </c>
      <c r="AE9" s="19">
        <f t="shared" si="17"/>
        <v>4860559</v>
      </c>
      <c r="AF9" s="19">
        <f t="shared" si="18"/>
        <v>6724540</v>
      </c>
      <c r="AG9" s="19"/>
      <c r="AH9" s="19">
        <f t="shared" si="19"/>
        <v>6724540</v>
      </c>
      <c r="AI9" s="26"/>
      <c r="AJ9" s="19">
        <f t="shared" si="20"/>
        <v>4860559</v>
      </c>
      <c r="AK9" s="26">
        <f t="shared" si="21"/>
        <v>14</v>
      </c>
      <c r="AL9" s="26"/>
      <c r="AM9" s="35"/>
      <c r="AN9" s="1">
        <f>341446*96.4%</f>
        <v>329153.944</v>
      </c>
      <c r="AO9" s="28"/>
      <c r="AP9" s="19">
        <f t="shared" si="22"/>
        <v>329153.944</v>
      </c>
      <c r="AQ9" s="29">
        <v>40760</v>
      </c>
      <c r="AR9" s="134" t="s">
        <v>120</v>
      </c>
      <c r="AS9" s="19">
        <v>229197</v>
      </c>
      <c r="AT9" s="21">
        <v>37895</v>
      </c>
      <c r="AU9" s="19">
        <v>249649</v>
      </c>
      <c r="AV9" s="26"/>
      <c r="AW9" s="19">
        <v>6724540</v>
      </c>
      <c r="AX9" s="19"/>
      <c r="AY9" s="19">
        <f t="shared" si="23"/>
      </c>
      <c r="AZ9" s="19">
        <f t="shared" si="24"/>
        <v>4860559</v>
      </c>
      <c r="BA9" s="19">
        <v>4860559</v>
      </c>
      <c r="BB9" s="30">
        <v>5894121</v>
      </c>
      <c r="BC9" s="19">
        <v>4127976</v>
      </c>
      <c r="BD9" s="31"/>
      <c r="BE9" s="19"/>
      <c r="BF9" s="19">
        <f t="shared" si="25"/>
        <v>4860559</v>
      </c>
      <c r="BG9" s="19"/>
      <c r="BH9" s="19">
        <f t="shared" si="26"/>
        <v>6724540</v>
      </c>
      <c r="BI9" s="26">
        <f t="shared" si="27"/>
        <v>13</v>
      </c>
    </row>
    <row r="10" spans="1:61" s="36" customFormat="1" ht="12.75">
      <c r="A10" s="17">
        <f t="shared" si="0"/>
        <v>2</v>
      </c>
      <c r="B10" s="18" t="s">
        <v>53</v>
      </c>
      <c r="C10" s="17" t="s">
        <v>13</v>
      </c>
      <c r="D10" s="17" t="s">
        <v>71</v>
      </c>
      <c r="E10" s="18" t="str">
        <f t="shared" si="1"/>
        <v>Y</v>
      </c>
      <c r="F10" s="17"/>
      <c r="G10" s="19">
        <f t="shared" si="2"/>
        <v>311657</v>
      </c>
      <c r="H10" s="20" t="str">
        <f t="shared" si="3"/>
        <v>Bird</v>
      </c>
      <c r="I10" s="20">
        <f t="shared" si="4"/>
      </c>
      <c r="J10" s="126">
        <f t="shared" si="5"/>
        <v>37986</v>
      </c>
      <c r="K10" s="22"/>
      <c r="L10" s="23"/>
      <c r="M10" s="19">
        <f t="shared" si="6"/>
      </c>
      <c r="N10" s="19"/>
      <c r="O10" s="19">
        <f t="shared" si="7"/>
        <v>311657</v>
      </c>
      <c r="P10" s="19"/>
      <c r="Q10" s="24">
        <f t="shared" si="8"/>
        <v>0.06392303236752549</v>
      </c>
      <c r="R10" s="25">
        <f t="shared" si="9"/>
        <v>15.7</v>
      </c>
      <c r="S10" s="26">
        <f t="shared" si="10"/>
        <v>8</v>
      </c>
      <c r="T10" s="17">
        <v>18</v>
      </c>
      <c r="U10" s="24">
        <f t="shared" si="11"/>
        <v>0.048067013767539475</v>
      </c>
      <c r="V10" s="25">
        <f t="shared" si="12"/>
        <v>20.900000000000002</v>
      </c>
      <c r="W10" s="26">
        <f t="shared" si="13"/>
        <v>8</v>
      </c>
      <c r="X10" s="19"/>
      <c r="Y10" s="27" t="s">
        <v>64</v>
      </c>
      <c r="Z10" s="17"/>
      <c r="AA10" s="19">
        <f t="shared" si="14"/>
        <v>311657</v>
      </c>
      <c r="AB10" s="19">
        <f t="shared" si="15"/>
        <v>4875504</v>
      </c>
      <c r="AC10" s="26"/>
      <c r="AD10" s="19">
        <f t="shared" si="16"/>
        <v>311657</v>
      </c>
      <c r="AE10" s="19">
        <f t="shared" si="17"/>
        <v>4875504</v>
      </c>
      <c r="AF10" s="19">
        <f t="shared" si="18"/>
        <v>6483802</v>
      </c>
      <c r="AG10" s="19"/>
      <c r="AH10" s="19">
        <f t="shared" si="19"/>
        <v>6483802</v>
      </c>
      <c r="AI10" s="26"/>
      <c r="AJ10" s="19">
        <f t="shared" si="20"/>
        <v>4875504</v>
      </c>
      <c r="AK10" s="26">
        <f t="shared" si="21"/>
        <v>13</v>
      </c>
      <c r="AL10" s="26"/>
      <c r="AM10" s="19"/>
      <c r="AN10" s="19"/>
      <c r="AO10" s="19"/>
      <c r="AP10" s="19">
        <f t="shared" si="22"/>
      </c>
      <c r="AQ10" s="29"/>
      <c r="AR10" s="134"/>
      <c r="AS10" s="19">
        <v>311657</v>
      </c>
      <c r="AT10" s="21">
        <v>37986</v>
      </c>
      <c r="AU10" s="19">
        <v>67597</v>
      </c>
      <c r="AV10" s="26"/>
      <c r="AW10" s="19">
        <v>6483802</v>
      </c>
      <c r="AX10" s="19">
        <v>1608298</v>
      </c>
      <c r="AY10" s="19">
        <f t="shared" si="23"/>
        <v>4875504</v>
      </c>
      <c r="AZ10" s="19">
        <f t="shared" si="24"/>
        <v>4578226</v>
      </c>
      <c r="BA10" s="19">
        <v>4578226</v>
      </c>
      <c r="BB10" s="30">
        <v>6080485</v>
      </c>
      <c r="BC10" s="19">
        <v>4221426</v>
      </c>
      <c r="BD10" s="31"/>
      <c r="BE10" s="19"/>
      <c r="BF10" s="19">
        <f t="shared" si="25"/>
        <v>4875504</v>
      </c>
      <c r="BG10" s="19"/>
      <c r="BH10" s="19">
        <f t="shared" si="26"/>
        <v>6483802</v>
      </c>
      <c r="BI10" s="26">
        <f t="shared" si="27"/>
        <v>15</v>
      </c>
    </row>
    <row r="11" spans="1:61" s="32" customFormat="1" ht="12.75">
      <c r="A11" s="17">
        <f t="shared" si="0"/>
        <v>1</v>
      </c>
      <c r="B11" s="18" t="s">
        <v>54</v>
      </c>
      <c r="C11" s="17" t="s">
        <v>49</v>
      </c>
      <c r="D11" s="17" t="s">
        <v>71</v>
      </c>
      <c r="E11" s="18">
        <f t="shared" si="1"/>
      </c>
      <c r="F11" s="17"/>
      <c r="G11" s="19">
        <f t="shared" si="2"/>
        <v>22943</v>
      </c>
      <c r="H11" s="20" t="str">
        <f t="shared" si="3"/>
        <v>Official</v>
      </c>
      <c r="I11" s="20" t="str">
        <f t="shared" si="4"/>
        <v>Email</v>
      </c>
      <c r="J11" s="126">
        <f t="shared" si="5"/>
        <v>40770</v>
      </c>
      <c r="K11" s="22"/>
      <c r="L11" s="23"/>
      <c r="M11" s="19">
        <f t="shared" si="6"/>
      </c>
      <c r="N11" s="19"/>
      <c r="O11" s="19">
        <f t="shared" si="7"/>
        <v>22943</v>
      </c>
      <c r="P11" s="19"/>
      <c r="Q11" s="24">
        <f t="shared" si="8"/>
        <v>0.05682673826460856</v>
      </c>
      <c r="R11" s="25">
        <f t="shared" si="9"/>
        <v>17.6</v>
      </c>
      <c r="S11" s="26">
        <f t="shared" si="10"/>
        <v>9</v>
      </c>
      <c r="T11" s="17">
        <v>21</v>
      </c>
      <c r="U11" s="24">
        <f t="shared" si="11"/>
        <v>0.0407060710471128</v>
      </c>
      <c r="V11" s="25">
        <f t="shared" si="12"/>
        <v>24.6</v>
      </c>
      <c r="W11" s="26">
        <f t="shared" si="13"/>
        <v>10</v>
      </c>
      <c r="X11" s="19"/>
      <c r="Y11" s="20" t="s">
        <v>65</v>
      </c>
      <c r="Z11" s="17"/>
      <c r="AA11" s="19">
        <f t="shared" si="14"/>
      </c>
      <c r="AB11" s="19">
        <f t="shared" si="15"/>
      </c>
      <c r="AC11" s="26"/>
      <c r="AD11" s="19">
        <f t="shared" si="16"/>
      </c>
      <c r="AE11" s="19">
        <f t="shared" si="17"/>
      </c>
      <c r="AF11" s="19">
        <f t="shared" si="18"/>
      </c>
      <c r="AG11" s="19"/>
      <c r="AH11" s="19">
        <f t="shared" si="19"/>
      </c>
      <c r="AI11" s="26"/>
      <c r="AJ11" s="19">
        <f t="shared" si="20"/>
        <v>403736</v>
      </c>
      <c r="AK11" s="26">
        <f t="shared" si="21"/>
        <v>50</v>
      </c>
      <c r="AL11" s="26"/>
      <c r="AM11" s="19"/>
      <c r="AN11" s="1">
        <v>22943</v>
      </c>
      <c r="AO11" s="19"/>
      <c r="AP11" s="19">
        <f t="shared" si="22"/>
        <v>22943</v>
      </c>
      <c r="AQ11" s="29">
        <v>40770</v>
      </c>
      <c r="AR11" s="134" t="s">
        <v>121</v>
      </c>
      <c r="AS11" s="19">
        <v>9238</v>
      </c>
      <c r="AT11" s="21">
        <v>38051</v>
      </c>
      <c r="AU11" s="19">
        <v>4601</v>
      </c>
      <c r="AV11" s="26"/>
      <c r="AW11" s="19">
        <v>563626</v>
      </c>
      <c r="AX11" s="19"/>
      <c r="AY11" s="19">
        <f t="shared" si="23"/>
      </c>
      <c r="AZ11" s="19">
        <f t="shared" si="24"/>
        <v>403736</v>
      </c>
      <c r="BA11" s="19">
        <v>403736</v>
      </c>
      <c r="BB11" s="30">
        <v>493782</v>
      </c>
      <c r="BC11" s="19">
        <v>340803</v>
      </c>
      <c r="BD11" s="31"/>
      <c r="BE11" s="19"/>
      <c r="BF11" s="19">
        <f t="shared" si="25"/>
        <v>403736</v>
      </c>
      <c r="BG11" s="19"/>
      <c r="BH11" s="19">
        <f t="shared" si="26"/>
        <v>563626</v>
      </c>
      <c r="BI11" s="26">
        <f t="shared" si="27"/>
        <v>50</v>
      </c>
    </row>
    <row r="12" spans="1:61" s="36" customFormat="1" ht="12.75">
      <c r="A12" s="17">
        <f t="shared" si="0"/>
        <v>2</v>
      </c>
      <c r="B12" s="18" t="s">
        <v>53</v>
      </c>
      <c r="C12" s="17" t="s">
        <v>8</v>
      </c>
      <c r="D12" s="17" t="s">
        <v>71</v>
      </c>
      <c r="E12" s="18">
        <f t="shared" si="1"/>
      </c>
      <c r="F12" s="17"/>
      <c r="G12" s="19">
        <f t="shared" si="2"/>
        <v>749741</v>
      </c>
      <c r="H12" s="20" t="str">
        <f t="shared" si="3"/>
        <v>Official</v>
      </c>
      <c r="I12" s="20" t="str">
        <f t="shared" si="4"/>
        <v>Link</v>
      </c>
      <c r="J12" s="126">
        <f t="shared" si="5"/>
        <v>40724</v>
      </c>
      <c r="K12" s="22"/>
      <c r="L12" s="23"/>
      <c r="M12" s="19">
        <f t="shared" si="6"/>
      </c>
      <c r="N12" s="19"/>
      <c r="O12" s="19">
        <f t="shared" si="7"/>
        <v>749741</v>
      </c>
      <c r="P12" s="19"/>
      <c r="Q12" s="24">
        <f t="shared" si="8"/>
        <v>0.05430382989918976</v>
      </c>
      <c r="R12" s="25">
        <f t="shared" si="9"/>
        <v>18.5</v>
      </c>
      <c r="S12" s="26">
        <f t="shared" si="10"/>
        <v>10</v>
      </c>
      <c r="T12" s="17">
        <v>21</v>
      </c>
      <c r="U12" s="24">
        <f t="shared" si="11"/>
        <v>0.039877061757930696</v>
      </c>
      <c r="V12" s="25">
        <f t="shared" si="12"/>
        <v>25.1</v>
      </c>
      <c r="W12" s="26">
        <f t="shared" si="13"/>
        <v>11</v>
      </c>
      <c r="X12" s="19"/>
      <c r="Y12" s="20" t="s">
        <v>65</v>
      </c>
      <c r="Z12" s="17"/>
      <c r="AA12" s="19">
        <f t="shared" si="14"/>
        <v>749741</v>
      </c>
      <c r="AB12" s="19">
        <f t="shared" si="15"/>
        <v>13806411.101976188</v>
      </c>
      <c r="AC12" s="26"/>
      <c r="AD12" s="19">
        <f t="shared" si="16"/>
      </c>
      <c r="AE12" s="19">
        <f t="shared" si="17"/>
      </c>
      <c r="AF12" s="19">
        <f t="shared" si="18"/>
      </c>
      <c r="AG12" s="19"/>
      <c r="AH12" s="19">
        <f t="shared" si="19"/>
      </c>
      <c r="AI12" s="26"/>
      <c r="AJ12" s="19">
        <f t="shared" si="20"/>
        <v>13806411.101976188</v>
      </c>
      <c r="AK12" s="26">
        <f t="shared" si="21"/>
        <v>4</v>
      </c>
      <c r="AL12" s="26"/>
      <c r="AM12" s="1">
        <f>843463-93722</f>
        <v>749741</v>
      </c>
      <c r="AN12" s="28"/>
      <c r="AO12" s="28"/>
      <c r="AP12" s="19">
        <f t="shared" si="22"/>
        <v>749741</v>
      </c>
      <c r="AQ12" s="29">
        <v>40724</v>
      </c>
      <c r="AR12" s="134" t="s">
        <v>122</v>
      </c>
      <c r="AS12" s="19">
        <v>330207</v>
      </c>
      <c r="AT12" s="21">
        <v>38017</v>
      </c>
      <c r="AU12" s="19">
        <v>221446</v>
      </c>
      <c r="AV12" s="26"/>
      <c r="AW12" s="19">
        <v>18801310</v>
      </c>
      <c r="AX12" s="19"/>
      <c r="AY12" s="19">
        <f t="shared" si="23"/>
      </c>
      <c r="AZ12" s="19">
        <f t="shared" si="24"/>
        <v>13806411.101976188</v>
      </c>
      <c r="BA12" s="19"/>
      <c r="BB12" s="30">
        <v>15982378</v>
      </c>
      <c r="BC12" s="19">
        <v>11736378</v>
      </c>
      <c r="BD12" s="31"/>
      <c r="BE12" s="19"/>
      <c r="BF12" s="19">
        <f t="shared" si="25"/>
        <v>13806411.101976188</v>
      </c>
      <c r="BG12" s="19"/>
      <c r="BH12" s="19">
        <f t="shared" si="26"/>
        <v>18801310</v>
      </c>
      <c r="BI12" s="26">
        <f t="shared" si="27"/>
        <v>4</v>
      </c>
    </row>
    <row r="13" spans="1:61" s="33" customFormat="1" ht="12.75">
      <c r="A13" s="17">
        <f t="shared" si="0"/>
        <v>2</v>
      </c>
      <c r="B13" s="18" t="s">
        <v>53</v>
      </c>
      <c r="C13" s="17" t="s">
        <v>3</v>
      </c>
      <c r="D13" s="17" t="s">
        <v>71</v>
      </c>
      <c r="E13" s="18">
        <f t="shared" si="1"/>
      </c>
      <c r="F13" s="17"/>
      <c r="G13" s="19">
        <f t="shared" si="2"/>
        <v>104615</v>
      </c>
      <c r="H13" s="20" t="str">
        <f t="shared" si="3"/>
        <v>Official</v>
      </c>
      <c r="I13" s="20" t="str">
        <f t="shared" si="4"/>
        <v>Email</v>
      </c>
      <c r="J13" s="126">
        <f t="shared" si="5"/>
        <v>40765</v>
      </c>
      <c r="K13" s="22"/>
      <c r="L13" s="23"/>
      <c r="M13" s="19">
        <f t="shared" si="6"/>
      </c>
      <c r="N13" s="19"/>
      <c r="O13" s="19">
        <f t="shared" si="7"/>
        <v>104615</v>
      </c>
      <c r="P13" s="19"/>
      <c r="Q13" s="24">
        <f t="shared" si="8"/>
        <v>0.051199012568985736</v>
      </c>
      <c r="R13" s="25">
        <f t="shared" si="9"/>
        <v>19.6</v>
      </c>
      <c r="S13" s="26">
        <f t="shared" si="10"/>
        <v>11</v>
      </c>
      <c r="T13" s="17">
        <v>21</v>
      </c>
      <c r="U13" s="24">
        <f t="shared" si="11"/>
        <v>0.03587720916706163</v>
      </c>
      <c r="V13" s="25">
        <f t="shared" si="12"/>
        <v>27.900000000000002</v>
      </c>
      <c r="W13" s="26">
        <f t="shared" si="13"/>
        <v>13</v>
      </c>
      <c r="X13" s="19"/>
      <c r="Y13" s="20" t="s">
        <v>65</v>
      </c>
      <c r="Z13" s="17"/>
      <c r="AA13" s="19">
        <f t="shared" si="14"/>
        <v>104615</v>
      </c>
      <c r="AB13" s="19">
        <f t="shared" si="15"/>
        <v>2043301.1253691928</v>
      </c>
      <c r="AC13" s="26"/>
      <c r="AD13" s="19">
        <f t="shared" si="16"/>
      </c>
      <c r="AE13" s="19">
        <f t="shared" si="17"/>
      </c>
      <c r="AF13" s="19">
        <f t="shared" si="18"/>
      </c>
      <c r="AG13" s="19"/>
      <c r="AH13" s="19">
        <f t="shared" si="19"/>
      </c>
      <c r="AI13" s="26"/>
      <c r="AJ13" s="19">
        <f t="shared" si="20"/>
        <v>2043301.1253691928</v>
      </c>
      <c r="AK13" s="26">
        <f t="shared" si="21"/>
        <v>31</v>
      </c>
      <c r="AL13" s="26"/>
      <c r="AM13" s="19"/>
      <c r="AN13" s="1">
        <v>104615</v>
      </c>
      <c r="AO13" s="19"/>
      <c r="AP13" s="19">
        <f t="shared" si="22"/>
        <v>104615</v>
      </c>
      <c r="AQ13" s="29">
        <v>40765</v>
      </c>
      <c r="AR13" s="134" t="s">
        <v>123</v>
      </c>
      <c r="AS13" s="19">
        <v>41636</v>
      </c>
      <c r="AT13" s="21">
        <v>38044</v>
      </c>
      <c r="AU13" s="19">
        <v>15190</v>
      </c>
      <c r="AV13" s="26"/>
      <c r="AW13" s="19">
        <v>2915918</v>
      </c>
      <c r="AX13" s="19"/>
      <c r="AY13" s="19">
        <f t="shared" si="23"/>
      </c>
      <c r="AZ13" s="19">
        <f t="shared" si="24"/>
        <v>2043301.1253691928</v>
      </c>
      <c r="BA13" s="19"/>
      <c r="BB13" s="30">
        <v>2673400</v>
      </c>
      <c r="BC13" s="19">
        <v>1873359</v>
      </c>
      <c r="BD13" s="31"/>
      <c r="BE13" s="19"/>
      <c r="BF13" s="19">
        <f t="shared" si="25"/>
        <v>2043301.1253691928</v>
      </c>
      <c r="BG13" s="19"/>
      <c r="BH13" s="19">
        <f t="shared" si="26"/>
        <v>2915918</v>
      </c>
      <c r="BI13" s="26">
        <f t="shared" si="27"/>
        <v>32</v>
      </c>
    </row>
    <row r="14" spans="1:61" s="48" customFormat="1" ht="12.75">
      <c r="A14" s="17">
        <f t="shared" si="0"/>
        <v>2</v>
      </c>
      <c r="B14" s="18" t="s">
        <v>53</v>
      </c>
      <c r="C14" s="17" t="s">
        <v>6</v>
      </c>
      <c r="D14" s="17" t="s">
        <v>71</v>
      </c>
      <c r="E14" s="18" t="str">
        <f t="shared" si="1"/>
        <v>Y</v>
      </c>
      <c r="F14" s="17"/>
      <c r="G14" s="19">
        <f t="shared" si="2"/>
        <v>130616</v>
      </c>
      <c r="H14" s="20" t="str">
        <f t="shared" si="3"/>
        <v>Bird</v>
      </c>
      <c r="I14" s="20">
        <f t="shared" si="4"/>
      </c>
      <c r="J14" s="126">
        <f t="shared" si="5"/>
        <v>38029</v>
      </c>
      <c r="K14" s="22"/>
      <c r="L14" s="23"/>
      <c r="M14" s="19">
        <f t="shared" si="6"/>
      </c>
      <c r="N14" s="19"/>
      <c r="O14" s="19">
        <f t="shared" si="7"/>
        <v>130616</v>
      </c>
      <c r="P14" s="19"/>
      <c r="Q14" s="24">
        <f t="shared" si="8"/>
        <v>0.05004095499854033</v>
      </c>
      <c r="R14" s="25">
        <f t="shared" si="9"/>
        <v>20</v>
      </c>
      <c r="S14" s="26">
        <f t="shared" si="10"/>
        <v>12</v>
      </c>
      <c r="T14" s="17">
        <v>21</v>
      </c>
      <c r="U14" s="24">
        <f t="shared" si="11"/>
        <v>0.036545174907116396</v>
      </c>
      <c r="V14" s="25">
        <f t="shared" si="12"/>
        <v>27.400000000000002</v>
      </c>
      <c r="W14" s="26">
        <f t="shared" si="13"/>
        <v>12</v>
      </c>
      <c r="X14" s="19"/>
      <c r="Y14" s="27" t="s">
        <v>64</v>
      </c>
      <c r="Z14" s="17"/>
      <c r="AA14" s="19">
        <f t="shared" si="14"/>
        <v>130616</v>
      </c>
      <c r="AB14" s="19">
        <f t="shared" si="15"/>
        <v>2610182</v>
      </c>
      <c r="AC14" s="26"/>
      <c r="AD14" s="19">
        <f t="shared" si="16"/>
        <v>130616</v>
      </c>
      <c r="AE14" s="19">
        <f t="shared" si="17"/>
        <v>2610182</v>
      </c>
      <c r="AF14" s="19">
        <f t="shared" si="18"/>
        <v>3574097</v>
      </c>
      <c r="AG14" s="19"/>
      <c r="AH14" s="19">
        <f t="shared" si="19"/>
        <v>3574097</v>
      </c>
      <c r="AI14" s="26"/>
      <c r="AJ14" s="19">
        <f t="shared" si="20"/>
        <v>2610182</v>
      </c>
      <c r="AK14" s="26">
        <f t="shared" si="21"/>
        <v>29</v>
      </c>
      <c r="AL14" s="26"/>
      <c r="AM14" s="19"/>
      <c r="AN14" s="19"/>
      <c r="AO14" s="19"/>
      <c r="AP14" s="19">
        <f t="shared" si="22"/>
      </c>
      <c r="AQ14" s="29"/>
      <c r="AR14" s="134"/>
      <c r="AS14" s="19">
        <v>130616</v>
      </c>
      <c r="AT14" s="21">
        <v>38029</v>
      </c>
      <c r="AU14" s="19">
        <v>140000</v>
      </c>
      <c r="AV14" s="26"/>
      <c r="AW14" s="19">
        <v>3574097</v>
      </c>
      <c r="AX14" s="19"/>
      <c r="AY14" s="19">
        <f t="shared" si="23"/>
      </c>
      <c r="AZ14" s="19">
        <f t="shared" si="24"/>
        <v>2610182</v>
      </c>
      <c r="BA14" s="19">
        <v>2610182</v>
      </c>
      <c r="BB14" s="30">
        <v>3405565</v>
      </c>
      <c r="BC14" s="19">
        <v>2439461</v>
      </c>
      <c r="BD14" s="31"/>
      <c r="BE14" s="19"/>
      <c r="BF14" s="19">
        <f t="shared" si="25"/>
        <v>2610182</v>
      </c>
      <c r="BG14" s="19"/>
      <c r="BH14" s="19">
        <f t="shared" si="26"/>
        <v>3574097</v>
      </c>
      <c r="BI14" s="26">
        <f t="shared" si="27"/>
        <v>29</v>
      </c>
    </row>
    <row r="15" spans="1:61" s="48" customFormat="1" ht="12.75">
      <c r="A15" s="17">
        <f t="shared" si="0"/>
        <v>2</v>
      </c>
      <c r="B15" s="18" t="s">
        <v>53</v>
      </c>
      <c r="C15" s="17" t="s">
        <v>16</v>
      </c>
      <c r="D15" s="17" t="s">
        <v>71</v>
      </c>
      <c r="E15" s="18">
        <f t="shared" si="1"/>
      </c>
      <c r="F15" s="17"/>
      <c r="G15" s="19">
        <f t="shared" si="2"/>
        <v>153119</v>
      </c>
      <c r="H15" s="20" t="str">
        <f t="shared" si="3"/>
        <v>Official</v>
      </c>
      <c r="I15" s="20" t="str">
        <f t="shared" si="4"/>
        <v>Link</v>
      </c>
      <c r="J15" s="126">
        <f t="shared" si="5"/>
        <v>40543</v>
      </c>
      <c r="K15" s="22"/>
      <c r="L15" s="23"/>
      <c r="M15" s="19">
        <f t="shared" si="6"/>
      </c>
      <c r="N15" s="19"/>
      <c r="O15" s="19">
        <f t="shared" si="7"/>
        <v>153119</v>
      </c>
      <c r="P15" s="19"/>
      <c r="Q15" s="24">
        <f t="shared" si="8"/>
        <v>0.04889020864364865</v>
      </c>
      <c r="R15" s="25">
        <f t="shared" si="9"/>
        <v>20.5</v>
      </c>
      <c r="S15" s="26">
        <f t="shared" si="10"/>
        <v>13</v>
      </c>
      <c r="T15" s="17">
        <v>21</v>
      </c>
      <c r="U15" s="24">
        <f t="shared" si="11"/>
        <v>0.035286022131799405</v>
      </c>
      <c r="V15" s="25">
        <f t="shared" si="12"/>
        <v>28.400000000000002</v>
      </c>
      <c r="W15" s="26">
        <f t="shared" si="13"/>
        <v>14</v>
      </c>
      <c r="X15" s="19"/>
      <c r="Y15" s="20" t="s">
        <v>65</v>
      </c>
      <c r="Z15" s="17"/>
      <c r="AA15" s="19">
        <f t="shared" si="14"/>
        <v>153119</v>
      </c>
      <c r="AB15" s="19">
        <f t="shared" si="15"/>
        <v>3131895</v>
      </c>
      <c r="AC15" s="26"/>
      <c r="AD15" s="19">
        <f t="shared" si="16"/>
      </c>
      <c r="AE15" s="19">
        <f t="shared" si="17"/>
      </c>
      <c r="AF15" s="19">
        <f t="shared" si="18"/>
      </c>
      <c r="AG15" s="19"/>
      <c r="AH15" s="19">
        <f t="shared" si="19"/>
      </c>
      <c r="AI15" s="26"/>
      <c r="AJ15" s="19">
        <f t="shared" si="20"/>
        <v>3131895</v>
      </c>
      <c r="AK15" s="26">
        <f t="shared" si="21"/>
        <v>25</v>
      </c>
      <c r="AL15" s="26"/>
      <c r="AM15" s="1">
        <v>153119</v>
      </c>
      <c r="AN15" s="19"/>
      <c r="AO15" s="19"/>
      <c r="AP15" s="19">
        <f t="shared" si="22"/>
        <v>153119</v>
      </c>
      <c r="AQ15" s="29">
        <v>40543</v>
      </c>
      <c r="AR15" s="134" t="s">
        <v>124</v>
      </c>
      <c r="AS15" s="19">
        <v>79253</v>
      </c>
      <c r="AT15" s="21">
        <v>38048</v>
      </c>
      <c r="AU15" s="19">
        <v>32569</v>
      </c>
      <c r="AV15" s="26"/>
      <c r="AW15" s="19">
        <v>4339367</v>
      </c>
      <c r="AX15" s="19"/>
      <c r="AY15" s="19">
        <f t="shared" si="23"/>
      </c>
      <c r="AZ15" s="19">
        <f t="shared" si="24"/>
        <v>3131895</v>
      </c>
      <c r="BA15" s="19">
        <v>3131895</v>
      </c>
      <c r="BB15" s="30">
        <v>4041769</v>
      </c>
      <c r="BC15" s="19">
        <v>2867257</v>
      </c>
      <c r="BD15" s="31"/>
      <c r="BE15" s="19"/>
      <c r="BF15" s="19">
        <f t="shared" si="25"/>
        <v>3131895</v>
      </c>
      <c r="BG15" s="19"/>
      <c r="BH15" s="19">
        <f t="shared" si="26"/>
        <v>4339367</v>
      </c>
      <c r="BI15" s="26">
        <f t="shared" si="27"/>
        <v>26</v>
      </c>
    </row>
    <row r="16" spans="1:61" s="34" customFormat="1" ht="12.75">
      <c r="A16" s="17">
        <f t="shared" si="0"/>
        <v>2</v>
      </c>
      <c r="B16" s="18" t="s">
        <v>53</v>
      </c>
      <c r="C16" s="17" t="s">
        <v>47</v>
      </c>
      <c r="D16" s="17" t="s">
        <v>71</v>
      </c>
      <c r="E16" s="18">
        <f t="shared" si="1"/>
      </c>
      <c r="F16" s="17"/>
      <c r="G16" s="19">
        <f t="shared" si="2"/>
        <v>65065</v>
      </c>
      <c r="H16" s="20" t="str">
        <f t="shared" si="3"/>
        <v>Official</v>
      </c>
      <c r="I16" s="20" t="str">
        <f t="shared" si="4"/>
        <v>Email</v>
      </c>
      <c r="J16" s="126">
        <f t="shared" si="5"/>
        <v>40766</v>
      </c>
      <c r="K16" s="22"/>
      <c r="L16" s="23"/>
      <c r="M16" s="19">
        <f t="shared" si="6"/>
      </c>
      <c r="N16" s="19"/>
      <c r="O16" s="19">
        <f t="shared" si="7"/>
        <v>65065</v>
      </c>
      <c r="P16" s="19"/>
      <c r="Q16" s="24">
        <f t="shared" si="8"/>
        <v>0.04687990846655542</v>
      </c>
      <c r="R16" s="25">
        <f t="shared" si="9"/>
        <v>21.400000000000002</v>
      </c>
      <c r="S16" s="26">
        <f t="shared" si="10"/>
        <v>14</v>
      </c>
      <c r="T16" s="17">
        <v>21</v>
      </c>
      <c r="U16" s="24">
        <f t="shared" si="11"/>
        <v>0.03511344343262849</v>
      </c>
      <c r="V16" s="25">
        <f t="shared" si="12"/>
        <v>28.5</v>
      </c>
      <c r="W16" s="26">
        <f t="shared" si="13"/>
        <v>15</v>
      </c>
      <c r="X16" s="19"/>
      <c r="Y16" s="20" t="s">
        <v>65</v>
      </c>
      <c r="Z16" s="17"/>
      <c r="AA16" s="19">
        <f t="shared" si="14"/>
        <v>65065</v>
      </c>
      <c r="AB16" s="19">
        <f t="shared" si="15"/>
        <v>1387908</v>
      </c>
      <c r="AC16" s="26"/>
      <c r="AD16" s="19">
        <f t="shared" si="16"/>
      </c>
      <c r="AE16" s="19">
        <f t="shared" si="17"/>
      </c>
      <c r="AF16" s="19">
        <f t="shared" si="18"/>
      </c>
      <c r="AG16" s="19"/>
      <c r="AH16" s="19">
        <f t="shared" si="19"/>
      </c>
      <c r="AI16" s="26"/>
      <c r="AJ16" s="19">
        <f t="shared" si="20"/>
        <v>1387908</v>
      </c>
      <c r="AK16" s="26">
        <f t="shared" si="21"/>
        <v>37</v>
      </c>
      <c r="AL16" s="26"/>
      <c r="AM16" s="28"/>
      <c r="AN16" s="1">
        <v>65065</v>
      </c>
      <c r="AO16" s="19"/>
      <c r="AP16" s="19">
        <f t="shared" si="22"/>
        <v>65065</v>
      </c>
      <c r="AQ16" s="29">
        <v>40766</v>
      </c>
      <c r="AR16" s="134" t="s">
        <v>125</v>
      </c>
      <c r="AS16" s="19"/>
      <c r="AT16" s="21"/>
      <c r="AU16" s="19">
        <v>25807</v>
      </c>
      <c r="AV16" s="26"/>
      <c r="AW16" s="19">
        <v>1852994</v>
      </c>
      <c r="AX16" s="19"/>
      <c r="AY16" s="19">
        <f t="shared" si="23"/>
      </c>
      <c r="AZ16" s="19">
        <f t="shared" si="24"/>
        <v>1387908</v>
      </c>
      <c r="BA16" s="19">
        <v>1387908</v>
      </c>
      <c r="BB16" s="30">
        <v>1808344</v>
      </c>
      <c r="BC16" s="19">
        <v>1326880</v>
      </c>
      <c r="BD16" s="31"/>
      <c r="BE16" s="19"/>
      <c r="BF16" s="19">
        <f t="shared" si="25"/>
        <v>1387908</v>
      </c>
      <c r="BG16" s="19"/>
      <c r="BH16" s="19">
        <f t="shared" si="26"/>
        <v>1852994</v>
      </c>
      <c r="BI16" s="26">
        <f t="shared" si="27"/>
        <v>37</v>
      </c>
    </row>
    <row r="17" spans="1:61" s="36" customFormat="1" ht="12.75">
      <c r="A17" s="37">
        <f t="shared" si="0"/>
        <v>1</v>
      </c>
      <c r="B17" s="38" t="s">
        <v>54</v>
      </c>
      <c r="C17" s="37" t="s">
        <v>1</v>
      </c>
      <c r="D17" s="37" t="s">
        <v>71</v>
      </c>
      <c r="E17" s="18" t="str">
        <f t="shared" si="1"/>
        <v>Y</v>
      </c>
      <c r="F17" s="37"/>
      <c r="G17" s="39">
        <f t="shared" si="2"/>
      </c>
      <c r="H17" s="20">
        <f t="shared" si="3"/>
      </c>
      <c r="I17" s="20">
        <f t="shared" si="4"/>
      </c>
      <c r="J17" s="130">
        <f t="shared" si="5"/>
      </c>
      <c r="K17" s="41"/>
      <c r="L17" s="42"/>
      <c r="M17" s="39">
        <f t="shared" si="6"/>
        <v>20868.793978614</v>
      </c>
      <c r="N17" s="39"/>
      <c r="O17" s="39">
        <f t="shared" si="7"/>
        <v>20868.793978614</v>
      </c>
      <c r="P17" s="39"/>
      <c r="Q17" s="43">
        <f t="shared" si="8"/>
        <v>0.04243668998809183</v>
      </c>
      <c r="R17" s="44">
        <f t="shared" si="9"/>
        <v>23.6</v>
      </c>
      <c r="S17" s="45">
        <f t="shared" si="10"/>
        <v>15</v>
      </c>
      <c r="T17" s="37">
        <v>21</v>
      </c>
      <c r="U17" s="24">
        <f t="shared" si="11"/>
        <v>0.0293831077193392</v>
      </c>
      <c r="V17" s="44">
        <f t="shared" si="12"/>
        <v>34.1</v>
      </c>
      <c r="W17" s="45">
        <f t="shared" si="13"/>
        <v>18</v>
      </c>
      <c r="X17" s="39"/>
      <c r="Y17" s="46" t="s">
        <v>65</v>
      </c>
      <c r="Z17" s="37"/>
      <c r="AA17" s="39">
        <f t="shared" si="14"/>
      </c>
      <c r="AB17" s="39">
        <f t="shared" si="15"/>
      </c>
      <c r="AC17" s="45"/>
      <c r="AD17" s="39">
        <f t="shared" si="16"/>
      </c>
      <c r="AE17" s="39">
        <f t="shared" si="17"/>
      </c>
      <c r="AF17" s="39">
        <f t="shared" si="18"/>
      </c>
      <c r="AG17" s="39"/>
      <c r="AH17" s="39">
        <f t="shared" si="19"/>
      </c>
      <c r="AI17" s="45"/>
      <c r="AJ17" s="39">
        <f t="shared" si="20"/>
        <v>491762.99999999994</v>
      </c>
      <c r="AK17" s="45">
        <f t="shared" si="21"/>
        <v>49</v>
      </c>
      <c r="AL17" s="45"/>
      <c r="AM17" s="39"/>
      <c r="AN17" s="39"/>
      <c r="AO17" s="39"/>
      <c r="AP17" s="19">
        <f t="shared" si="22"/>
      </c>
      <c r="AQ17" s="47"/>
      <c r="AR17" s="135"/>
      <c r="AS17" s="39"/>
      <c r="AT17" s="40"/>
      <c r="AU17" s="39"/>
      <c r="AV17" s="45"/>
      <c r="AW17" s="39">
        <v>710231</v>
      </c>
      <c r="AX17" s="39"/>
      <c r="AY17" s="19">
        <f t="shared" si="23"/>
      </c>
      <c r="AZ17" s="19">
        <f t="shared" si="24"/>
        <v>491763</v>
      </c>
      <c r="BA17" s="19">
        <v>491763</v>
      </c>
      <c r="BB17" s="30">
        <v>626932</v>
      </c>
      <c r="BC17" s="39">
        <v>410474</v>
      </c>
      <c r="BD17" s="31"/>
      <c r="BE17" s="39"/>
      <c r="BF17" s="39">
        <f t="shared" si="25"/>
        <v>491763</v>
      </c>
      <c r="BG17" s="39"/>
      <c r="BH17" s="19">
        <f t="shared" si="26"/>
        <v>710231</v>
      </c>
      <c r="BI17" s="45">
        <f t="shared" si="27"/>
        <v>47</v>
      </c>
    </row>
    <row r="18" spans="1:61" s="32" customFormat="1" ht="12.75">
      <c r="A18" s="37">
        <f t="shared" si="0"/>
        <v>1</v>
      </c>
      <c r="B18" s="38" t="s">
        <v>54</v>
      </c>
      <c r="C18" s="37" t="s">
        <v>44</v>
      </c>
      <c r="D18" s="37" t="s">
        <v>71</v>
      </c>
      <c r="E18" s="18" t="str">
        <f t="shared" si="1"/>
        <v>Y</v>
      </c>
      <c r="F18" s="37"/>
      <c r="G18" s="39">
        <f t="shared" si="2"/>
      </c>
      <c r="H18" s="20">
        <f t="shared" si="3"/>
      </c>
      <c r="I18" s="20">
        <f t="shared" si="4"/>
      </c>
      <c r="J18" s="130">
        <f t="shared" si="5"/>
      </c>
      <c r="K18" s="41"/>
      <c r="L18" s="42"/>
      <c r="M18" s="39">
        <f t="shared" si="6"/>
        <v>26554.37682983857</v>
      </c>
      <c r="N18" s="39"/>
      <c r="O18" s="39">
        <f t="shared" si="7"/>
        <v>26554.37682983857</v>
      </c>
      <c r="P18" s="39"/>
      <c r="Q18" s="43">
        <f t="shared" si="8"/>
        <v>0.04243668998809183</v>
      </c>
      <c r="R18" s="44">
        <f t="shared" si="9"/>
        <v>23.6</v>
      </c>
      <c r="S18" s="45">
        <f t="shared" si="10"/>
        <v>15</v>
      </c>
      <c r="T18" s="37">
        <v>18</v>
      </c>
      <c r="U18" s="24">
        <f t="shared" si="11"/>
        <v>0.04243668998809183</v>
      </c>
      <c r="V18" s="44">
        <f t="shared" si="12"/>
        <v>23.6</v>
      </c>
      <c r="W18" s="45">
        <f t="shared" si="13"/>
        <v>9</v>
      </c>
      <c r="X18" s="39"/>
      <c r="Y18" s="46" t="s">
        <v>64</v>
      </c>
      <c r="Z18" s="37"/>
      <c r="AA18" s="39">
        <f t="shared" si="14"/>
      </c>
      <c r="AB18" s="39">
        <f t="shared" si="15"/>
      </c>
      <c r="AC18" s="45"/>
      <c r="AD18" s="39">
        <f t="shared" si="16"/>
      </c>
      <c r="AE18" s="39">
        <f t="shared" si="17"/>
      </c>
      <c r="AF18" s="39">
        <f t="shared" si="18"/>
      </c>
      <c r="AG18" s="39"/>
      <c r="AH18" s="39">
        <f t="shared" si="19"/>
        <v>625741</v>
      </c>
      <c r="AI18" s="45"/>
      <c r="AJ18" s="39">
        <f t="shared" si="20"/>
        <v>625741</v>
      </c>
      <c r="AK18" s="45">
        <f t="shared" si="21"/>
        <v>46</v>
      </c>
      <c r="AL18" s="45"/>
      <c r="AM18" s="39"/>
      <c r="AN18" s="39"/>
      <c r="AO18" s="39"/>
      <c r="AP18" s="19">
        <f t="shared" si="22"/>
      </c>
      <c r="AQ18" s="47"/>
      <c r="AR18" s="135"/>
      <c r="AS18" s="39"/>
      <c r="AT18" s="40"/>
      <c r="AU18" s="39"/>
      <c r="AV18" s="45"/>
      <c r="AW18" s="39">
        <v>625741</v>
      </c>
      <c r="AX18" s="39"/>
      <c r="AY18" s="19">
        <f t="shared" si="23"/>
        <v>625741</v>
      </c>
      <c r="AZ18" s="19">
        <f t="shared" si="24"/>
        <v>465053</v>
      </c>
      <c r="BA18" s="19">
        <v>465053</v>
      </c>
      <c r="BB18" s="30">
        <v>608827</v>
      </c>
      <c r="BC18" s="39">
        <v>433348</v>
      </c>
      <c r="BD18" s="31"/>
      <c r="BE18" s="39"/>
      <c r="BF18" s="39">
        <f t="shared" si="25"/>
        <v>625741</v>
      </c>
      <c r="BG18" s="39"/>
      <c r="BH18" s="19">
        <f t="shared" si="26"/>
        <v>625741</v>
      </c>
      <c r="BI18" s="45">
        <f t="shared" si="27"/>
        <v>49</v>
      </c>
    </row>
    <row r="19" spans="1:61" s="33" customFormat="1" ht="12.75">
      <c r="A19" s="17">
        <f t="shared" si="0"/>
        <v>2</v>
      </c>
      <c r="B19" s="18" t="s">
        <v>53</v>
      </c>
      <c r="C19" s="17" t="s">
        <v>9</v>
      </c>
      <c r="D19" s="17" t="s">
        <v>71</v>
      </c>
      <c r="E19" s="18" t="str">
        <f t="shared" si="1"/>
        <v>Y</v>
      </c>
      <c r="F19" s="17"/>
      <c r="G19" s="19">
        <f t="shared" si="2"/>
      </c>
      <c r="H19" s="20">
        <f t="shared" si="3"/>
      </c>
      <c r="I19" s="20">
        <f t="shared" si="4"/>
      </c>
      <c r="J19" s="126">
        <f t="shared" si="5"/>
      </c>
      <c r="K19" s="22"/>
      <c r="L19" s="23"/>
      <c r="M19" s="19">
        <f t="shared" si="6"/>
        <v>286980.3651890403</v>
      </c>
      <c r="N19" s="19"/>
      <c r="O19" s="19">
        <f t="shared" si="7"/>
        <v>286980.3651890403</v>
      </c>
      <c r="P19" s="19"/>
      <c r="Q19" s="24">
        <f t="shared" si="8"/>
        <v>0.04243668998809183</v>
      </c>
      <c r="R19" s="25">
        <f t="shared" si="9"/>
        <v>23.6</v>
      </c>
      <c r="S19" s="26">
        <f t="shared" si="10"/>
        <v>15</v>
      </c>
      <c r="T19" s="17">
        <v>21</v>
      </c>
      <c r="U19" s="24">
        <f t="shared" si="11"/>
        <v>0.029623311775209157</v>
      </c>
      <c r="V19" s="25">
        <f t="shared" si="12"/>
        <v>33.800000000000004</v>
      </c>
      <c r="W19" s="26">
        <f t="shared" si="13"/>
        <v>17</v>
      </c>
      <c r="X19" s="19"/>
      <c r="Y19" s="27" t="s">
        <v>64</v>
      </c>
      <c r="Z19" s="17"/>
      <c r="AA19" s="19">
        <f t="shared" si="14"/>
      </c>
      <c r="AB19" s="19">
        <f t="shared" si="15"/>
      </c>
      <c r="AC19" s="26"/>
      <c r="AD19" s="19">
        <f t="shared" si="16"/>
      </c>
      <c r="AE19" s="19">
        <f t="shared" si="17"/>
      </c>
      <c r="AF19" s="19">
        <f t="shared" si="18"/>
      </c>
      <c r="AG19" s="19"/>
      <c r="AH19" s="19">
        <f t="shared" si="19"/>
        <v>9687653</v>
      </c>
      <c r="AI19" s="26"/>
      <c r="AJ19" s="19">
        <f t="shared" si="20"/>
        <v>6762552.999999999</v>
      </c>
      <c r="AK19" s="26">
        <f t="shared" si="21"/>
        <v>10</v>
      </c>
      <c r="AL19" s="26"/>
      <c r="AM19" s="19"/>
      <c r="AN19" s="19"/>
      <c r="AO19" s="19"/>
      <c r="AP19" s="19">
        <f t="shared" si="22"/>
      </c>
      <c r="AQ19" s="29"/>
      <c r="AR19" s="134"/>
      <c r="AS19" s="19"/>
      <c r="AT19" s="21"/>
      <c r="AU19" s="19"/>
      <c r="AV19" s="26"/>
      <c r="AW19" s="19">
        <v>9687653</v>
      </c>
      <c r="AX19" s="19"/>
      <c r="AY19" s="19">
        <f t="shared" si="23"/>
      </c>
      <c r="AZ19" s="19">
        <f t="shared" si="24"/>
        <v>6762553</v>
      </c>
      <c r="BA19" s="19">
        <v>6762553</v>
      </c>
      <c r="BB19" s="30">
        <v>8186453</v>
      </c>
      <c r="BC19" s="19">
        <v>5646535</v>
      </c>
      <c r="BD19" s="31"/>
      <c r="BE19" s="19"/>
      <c r="BF19" s="19">
        <f t="shared" si="25"/>
        <v>6762553</v>
      </c>
      <c r="BG19" s="19"/>
      <c r="BH19" s="19">
        <f t="shared" si="26"/>
        <v>9687653</v>
      </c>
      <c r="BI19" s="26">
        <f t="shared" si="27"/>
        <v>9</v>
      </c>
    </row>
    <row r="20" spans="1:61" s="33" customFormat="1" ht="12.75">
      <c r="A20" s="17">
        <f t="shared" si="0"/>
        <v>2</v>
      </c>
      <c r="B20" s="18" t="s">
        <v>53</v>
      </c>
      <c r="C20" s="17" t="s">
        <v>45</v>
      </c>
      <c r="D20" s="17" t="s">
        <v>71</v>
      </c>
      <c r="E20" s="18">
        <f t="shared" si="1"/>
      </c>
      <c r="F20" s="17"/>
      <c r="G20" s="19">
        <f t="shared" si="2"/>
        <v>238395</v>
      </c>
      <c r="H20" s="20" t="str">
        <f t="shared" si="3"/>
        <v>Official</v>
      </c>
      <c r="I20" s="20" t="str">
        <f t="shared" si="4"/>
        <v>Link</v>
      </c>
      <c r="J20" s="126">
        <f t="shared" si="5"/>
        <v>40543</v>
      </c>
      <c r="K20" s="22"/>
      <c r="L20" s="23"/>
      <c r="M20" s="19">
        <f t="shared" si="6"/>
      </c>
      <c r="N20" s="19"/>
      <c r="O20" s="19">
        <f t="shared" si="7"/>
        <v>238395</v>
      </c>
      <c r="P20" s="19"/>
      <c r="Q20" s="24">
        <f t="shared" si="8"/>
        <v>0.041103337405821554</v>
      </c>
      <c r="R20" s="25">
        <f t="shared" si="9"/>
        <v>24.400000000000002</v>
      </c>
      <c r="S20" s="26">
        <f t="shared" si="10"/>
        <v>18</v>
      </c>
      <c r="T20" s="17">
        <v>21</v>
      </c>
      <c r="U20" s="24">
        <f t="shared" si="11"/>
        <v>0.029795561168170476</v>
      </c>
      <c r="V20" s="25">
        <f t="shared" si="12"/>
        <v>33.6</v>
      </c>
      <c r="W20" s="26">
        <f t="shared" si="13"/>
        <v>16</v>
      </c>
      <c r="X20" s="19"/>
      <c r="Y20" s="20" t="s">
        <v>65</v>
      </c>
      <c r="Z20" s="17"/>
      <c r="AA20" s="19">
        <f t="shared" si="14"/>
        <v>238395</v>
      </c>
      <c r="AB20" s="19">
        <f t="shared" si="15"/>
        <v>5799894</v>
      </c>
      <c r="AC20" s="26"/>
      <c r="AD20" s="19">
        <f t="shared" si="16"/>
      </c>
      <c r="AE20" s="19">
        <f t="shared" si="17"/>
      </c>
      <c r="AF20" s="19">
        <f t="shared" si="18"/>
      </c>
      <c r="AG20" s="19"/>
      <c r="AH20" s="19">
        <f t="shared" si="19"/>
      </c>
      <c r="AI20" s="26"/>
      <c r="AJ20" s="19">
        <f t="shared" si="20"/>
        <v>5799894</v>
      </c>
      <c r="AK20" s="26">
        <f t="shared" si="21"/>
        <v>12</v>
      </c>
      <c r="AL20" s="26"/>
      <c r="AM20" s="1">
        <v>238395</v>
      </c>
      <c r="AN20" s="28"/>
      <c r="AO20" s="28"/>
      <c r="AP20" s="19">
        <f t="shared" si="22"/>
        <v>238395</v>
      </c>
      <c r="AQ20" s="29">
        <v>40543</v>
      </c>
      <c r="AR20" s="134" t="s">
        <v>126</v>
      </c>
      <c r="AS20" s="19">
        <v>110107</v>
      </c>
      <c r="AT20" s="21">
        <v>38046</v>
      </c>
      <c r="AU20" s="19">
        <v>72730</v>
      </c>
      <c r="AV20" s="26"/>
      <c r="AW20" s="19">
        <v>8001024</v>
      </c>
      <c r="AX20" s="19"/>
      <c r="AY20" s="19">
        <f t="shared" si="23"/>
      </c>
      <c r="AZ20" s="19">
        <f t="shared" si="24"/>
        <v>5799894</v>
      </c>
      <c r="BA20" s="19">
        <v>5799894</v>
      </c>
      <c r="BB20" s="30">
        <v>7078515</v>
      </c>
      <c r="BC20" s="19">
        <v>5039883</v>
      </c>
      <c r="BD20" s="31"/>
      <c r="BE20" s="19"/>
      <c r="BF20" s="19">
        <f t="shared" si="25"/>
        <v>5799894</v>
      </c>
      <c r="BG20" s="19"/>
      <c r="BH20" s="19">
        <f t="shared" si="26"/>
        <v>8001024</v>
      </c>
      <c r="BI20" s="26">
        <f t="shared" si="27"/>
        <v>12</v>
      </c>
    </row>
    <row r="21" spans="1:61" s="33" customFormat="1" ht="12.75">
      <c r="A21" s="17">
        <f t="shared" si="0"/>
        <v>2</v>
      </c>
      <c r="B21" s="18" t="s">
        <v>53</v>
      </c>
      <c r="C21" s="17" t="s">
        <v>35</v>
      </c>
      <c r="D21" s="17" t="s">
        <v>71</v>
      </c>
      <c r="E21" s="18">
        <f t="shared" si="1"/>
      </c>
      <c r="F21" s="17"/>
      <c r="G21" s="19">
        <f t="shared" si="2"/>
        <v>107264</v>
      </c>
      <c r="H21" s="20" t="str">
        <f t="shared" si="3"/>
        <v>Official</v>
      </c>
      <c r="I21" s="20" t="str">
        <f t="shared" si="4"/>
        <v>Link</v>
      </c>
      <c r="J21" s="126">
        <f t="shared" si="5"/>
        <v>40543</v>
      </c>
      <c r="K21" s="22"/>
      <c r="L21" s="23"/>
      <c r="M21" s="19">
        <f t="shared" si="6"/>
      </c>
      <c r="N21" s="19"/>
      <c r="O21" s="19">
        <f t="shared" si="7"/>
        <v>107264</v>
      </c>
      <c r="P21" s="19"/>
      <c r="Q21" s="24">
        <f t="shared" si="8"/>
        <v>0.04042095616151651</v>
      </c>
      <c r="R21" s="25">
        <f t="shared" si="9"/>
        <v>24.8</v>
      </c>
      <c r="S21" s="26">
        <f t="shared" si="10"/>
        <v>19</v>
      </c>
      <c r="T21" s="17">
        <v>21</v>
      </c>
      <c r="U21" s="24">
        <f t="shared" si="11"/>
        <v>0.02859343207287188</v>
      </c>
      <c r="V21" s="25">
        <f t="shared" si="12"/>
        <v>35</v>
      </c>
      <c r="W21" s="26">
        <f t="shared" si="13"/>
        <v>19</v>
      </c>
      <c r="X21" s="19"/>
      <c r="Y21" s="20" t="s">
        <v>65</v>
      </c>
      <c r="Z21" s="17"/>
      <c r="AA21" s="19">
        <f t="shared" si="14"/>
        <v>107264</v>
      </c>
      <c r="AB21" s="19">
        <f t="shared" si="15"/>
        <v>2653673</v>
      </c>
      <c r="AC21" s="26"/>
      <c r="AD21" s="19">
        <f t="shared" si="16"/>
      </c>
      <c r="AE21" s="19">
        <f t="shared" si="17"/>
      </c>
      <c r="AF21" s="19">
        <f t="shared" si="18"/>
      </c>
      <c r="AG21" s="19"/>
      <c r="AH21" s="19">
        <f t="shared" si="19"/>
      </c>
      <c r="AI21" s="26"/>
      <c r="AJ21" s="19">
        <f t="shared" si="20"/>
        <v>2653673</v>
      </c>
      <c r="AK21" s="26">
        <f t="shared" si="21"/>
        <v>28</v>
      </c>
      <c r="AL21" s="26"/>
      <c r="AM21" s="1">
        <v>107264</v>
      </c>
      <c r="AN21" s="19"/>
      <c r="AO21" s="19"/>
      <c r="AP21" s="19">
        <f t="shared" si="22"/>
        <v>107264</v>
      </c>
      <c r="AQ21" s="29">
        <v>40543</v>
      </c>
      <c r="AR21" s="134" t="s">
        <v>127</v>
      </c>
      <c r="AS21" s="19">
        <v>42684</v>
      </c>
      <c r="AT21" s="21">
        <v>38060</v>
      </c>
      <c r="AU21" s="19">
        <v>22092</v>
      </c>
      <c r="AV21" s="26"/>
      <c r="AW21" s="19">
        <v>3751351</v>
      </c>
      <c r="AX21" s="19"/>
      <c r="AY21" s="19">
        <f t="shared" si="23"/>
      </c>
      <c r="AZ21" s="19">
        <f t="shared" si="24"/>
        <v>2653673</v>
      </c>
      <c r="BA21" s="19">
        <v>2653673</v>
      </c>
      <c r="BB21" s="30">
        <v>3450654</v>
      </c>
      <c r="BC21" s="19">
        <v>2393620</v>
      </c>
      <c r="BD21" s="31"/>
      <c r="BE21" s="19"/>
      <c r="BF21" s="19">
        <f t="shared" si="25"/>
        <v>2653673</v>
      </c>
      <c r="BG21" s="19"/>
      <c r="BH21" s="19">
        <f t="shared" si="26"/>
        <v>3751351</v>
      </c>
      <c r="BI21" s="26">
        <f t="shared" si="27"/>
        <v>28</v>
      </c>
    </row>
    <row r="22" spans="1:61" s="33" customFormat="1" ht="12.75">
      <c r="A22" s="17">
        <f t="shared" si="0"/>
        <v>2</v>
      </c>
      <c r="B22" s="18" t="s">
        <v>53</v>
      </c>
      <c r="C22" s="17" t="s">
        <v>21</v>
      </c>
      <c r="D22" s="17" t="s">
        <v>71</v>
      </c>
      <c r="E22" s="18">
        <f t="shared" si="1"/>
      </c>
      <c r="F22" s="17"/>
      <c r="G22" s="19">
        <f t="shared" si="2"/>
        <v>275978</v>
      </c>
      <c r="H22" s="20" t="str">
        <f t="shared" si="3"/>
        <v>Official</v>
      </c>
      <c r="I22" s="20" t="str">
        <f t="shared" si="4"/>
        <v>Link</v>
      </c>
      <c r="J22" s="126">
        <f t="shared" si="5"/>
        <v>40730</v>
      </c>
      <c r="K22" s="22"/>
      <c r="L22" s="23"/>
      <c r="M22" s="19">
        <f t="shared" si="6"/>
      </c>
      <c r="N22" s="19"/>
      <c r="O22" s="19">
        <f t="shared" si="7"/>
        <v>275978</v>
      </c>
      <c r="P22" s="19"/>
      <c r="Q22" s="24">
        <f t="shared" si="8"/>
        <v>0.04013636935411023</v>
      </c>
      <c r="R22" s="25">
        <f t="shared" si="9"/>
        <v>25</v>
      </c>
      <c r="S22" s="26">
        <f t="shared" si="10"/>
        <v>20</v>
      </c>
      <c r="T22" s="17">
        <v>21</v>
      </c>
      <c r="U22" s="24">
        <f t="shared" si="11"/>
        <v>0.027922708637708373</v>
      </c>
      <c r="V22" s="25">
        <f t="shared" si="12"/>
        <v>35.9</v>
      </c>
      <c r="W22" s="26">
        <f t="shared" si="13"/>
        <v>20</v>
      </c>
      <c r="X22" s="19"/>
      <c r="Y22" s="20" t="s">
        <v>65</v>
      </c>
      <c r="Z22" s="17"/>
      <c r="AA22" s="19">
        <f t="shared" si="14"/>
        <v>275978</v>
      </c>
      <c r="AB22" s="19">
        <f t="shared" si="15"/>
        <v>6876008.080480204</v>
      </c>
      <c r="AC22" s="26"/>
      <c r="AD22" s="19">
        <f t="shared" si="16"/>
      </c>
      <c r="AE22" s="19">
        <f t="shared" si="17"/>
      </c>
      <c r="AF22" s="19">
        <f t="shared" si="18"/>
      </c>
      <c r="AG22" s="19"/>
      <c r="AH22" s="19">
        <f t="shared" si="19"/>
      </c>
      <c r="AI22" s="26"/>
      <c r="AJ22" s="19">
        <f t="shared" si="20"/>
        <v>6876008.080480204</v>
      </c>
      <c r="AK22" s="26">
        <f t="shared" si="21"/>
        <v>8</v>
      </c>
      <c r="AL22" s="26"/>
      <c r="AM22" s="1">
        <v>275978</v>
      </c>
      <c r="AN22" s="28"/>
      <c r="AO22" s="28"/>
      <c r="AP22" s="19">
        <f t="shared" si="22"/>
        <v>275978</v>
      </c>
      <c r="AQ22" s="29">
        <v>40730</v>
      </c>
      <c r="AR22" s="134" t="s">
        <v>128</v>
      </c>
      <c r="AS22" s="19">
        <v>108777</v>
      </c>
      <c r="AT22" s="21">
        <v>38055</v>
      </c>
      <c r="AU22" s="19">
        <v>10000</v>
      </c>
      <c r="AV22" s="26"/>
      <c r="AW22" s="19">
        <v>9883640</v>
      </c>
      <c r="AX22" s="19"/>
      <c r="AY22" s="19">
        <f t="shared" si="23"/>
      </c>
      <c r="AZ22" s="19">
        <f t="shared" si="24"/>
        <v>6876008.080480204</v>
      </c>
      <c r="BA22" s="19" t="s">
        <v>104</v>
      </c>
      <c r="BB22" s="30">
        <v>9938444</v>
      </c>
      <c r="BC22" s="19">
        <v>6914135</v>
      </c>
      <c r="BD22" s="31"/>
      <c r="BE22" s="19"/>
      <c r="BF22" s="19">
        <f t="shared" si="25"/>
        <v>6876008.080480204</v>
      </c>
      <c r="BG22" s="19"/>
      <c r="BH22" s="19">
        <f t="shared" si="26"/>
        <v>9883640</v>
      </c>
      <c r="BI22" s="26">
        <f t="shared" si="27"/>
        <v>8</v>
      </c>
    </row>
    <row r="23" spans="1:61" s="32" customFormat="1" ht="12.75">
      <c r="A23" s="17">
        <f t="shared" si="0"/>
        <v>2</v>
      </c>
      <c r="B23" s="18" t="s">
        <v>53</v>
      </c>
      <c r="C23" s="17" t="s">
        <v>39</v>
      </c>
      <c r="D23" s="17" t="s">
        <v>71</v>
      </c>
      <c r="E23" s="18">
        <f t="shared" si="1"/>
      </c>
      <c r="F23" s="17"/>
      <c r="G23" s="19">
        <f t="shared" si="2"/>
        <v>119340</v>
      </c>
      <c r="H23" s="20" t="str">
        <f t="shared" si="3"/>
        <v>Official</v>
      </c>
      <c r="I23" s="20" t="str">
        <f t="shared" si="4"/>
        <v>Link</v>
      </c>
      <c r="J23" s="126">
        <f t="shared" si="5"/>
        <v>40543</v>
      </c>
      <c r="K23" s="22"/>
      <c r="L23" s="23"/>
      <c r="M23" s="19">
        <f t="shared" si="6"/>
      </c>
      <c r="N23" s="19"/>
      <c r="O23" s="19">
        <f t="shared" si="7"/>
        <v>119340</v>
      </c>
      <c r="P23" s="19"/>
      <c r="Q23" s="24">
        <f t="shared" si="8"/>
        <v>0.03678392179975883</v>
      </c>
      <c r="R23" s="25">
        <f t="shared" si="9"/>
        <v>27.200000000000003</v>
      </c>
      <c r="S23" s="26">
        <f t="shared" si="10"/>
        <v>21</v>
      </c>
      <c r="T23" s="17">
        <v>21</v>
      </c>
      <c r="U23" s="24">
        <f t="shared" si="11"/>
        <v>0.025801212618077194</v>
      </c>
      <c r="V23" s="25">
        <f t="shared" si="12"/>
        <v>38.800000000000004</v>
      </c>
      <c r="W23" s="26">
        <f t="shared" si="13"/>
        <v>22</v>
      </c>
      <c r="X23" s="19"/>
      <c r="Y23" s="20" t="s">
        <v>65</v>
      </c>
      <c r="Z23" s="17"/>
      <c r="AA23" s="19">
        <f t="shared" si="14"/>
        <v>119340</v>
      </c>
      <c r="AB23" s="19">
        <f t="shared" si="15"/>
        <v>3244352.2648197464</v>
      </c>
      <c r="AC23" s="26"/>
      <c r="AD23" s="19">
        <f t="shared" si="16"/>
      </c>
      <c r="AE23" s="19">
        <f t="shared" si="17"/>
      </c>
      <c r="AF23" s="19">
        <f t="shared" si="18"/>
      </c>
      <c r="AG23" s="19"/>
      <c r="AH23" s="19">
        <f t="shared" si="19"/>
      </c>
      <c r="AI23" s="26"/>
      <c r="AJ23" s="19">
        <f t="shared" si="20"/>
        <v>3244352.2648197464</v>
      </c>
      <c r="AK23" s="26">
        <f t="shared" si="21"/>
        <v>24</v>
      </c>
      <c r="AL23" s="26"/>
      <c r="AM23" s="1">
        <v>119340</v>
      </c>
      <c r="AN23" s="19"/>
      <c r="AO23" s="19"/>
      <c r="AP23" s="19">
        <f t="shared" si="22"/>
        <v>119340</v>
      </c>
      <c r="AQ23" s="29">
        <v>40543</v>
      </c>
      <c r="AR23" s="134" t="s">
        <v>129</v>
      </c>
      <c r="AS23" s="19">
        <v>40492</v>
      </c>
      <c r="AT23" s="21">
        <v>38057</v>
      </c>
      <c r="AU23" s="19">
        <v>16486</v>
      </c>
      <c r="AV23" s="26"/>
      <c r="AW23" s="19">
        <v>4625364</v>
      </c>
      <c r="AX23" s="19"/>
      <c r="AY23" s="19">
        <f t="shared" si="23"/>
      </c>
      <c r="AZ23" s="19">
        <f t="shared" si="24"/>
        <v>3244352.2648197464</v>
      </c>
      <c r="BA23" s="19" t="s">
        <v>104</v>
      </c>
      <c r="BB23" s="30">
        <v>4012012</v>
      </c>
      <c r="BC23" s="19">
        <v>2814131</v>
      </c>
      <c r="BD23" s="31"/>
      <c r="BE23" s="19"/>
      <c r="BF23" s="19">
        <f t="shared" si="25"/>
        <v>3244352.2648197464</v>
      </c>
      <c r="BG23" s="19"/>
      <c r="BH23" s="19">
        <f t="shared" si="26"/>
        <v>4625364</v>
      </c>
      <c r="BI23" s="26">
        <f t="shared" si="27"/>
        <v>24</v>
      </c>
    </row>
    <row r="24" spans="1:61" s="34" customFormat="1" ht="12.75">
      <c r="A24" s="37">
        <v>1</v>
      </c>
      <c r="B24" s="38" t="s">
        <v>54</v>
      </c>
      <c r="C24" s="37" t="s">
        <v>2</v>
      </c>
      <c r="D24" s="37" t="s">
        <v>71</v>
      </c>
      <c r="E24" s="18">
        <f t="shared" si="1"/>
      </c>
      <c r="F24" s="37"/>
      <c r="G24" s="39">
        <f t="shared" si="2"/>
        <v>162508</v>
      </c>
      <c r="H24" s="20" t="str">
        <f t="shared" si="3"/>
        <v>Official</v>
      </c>
      <c r="I24" s="20" t="str">
        <f t="shared" si="4"/>
        <v>Link</v>
      </c>
      <c r="J24" s="130">
        <f t="shared" si="5"/>
        <v>40755</v>
      </c>
      <c r="K24" s="41"/>
      <c r="L24" s="42"/>
      <c r="M24" s="39">
        <f t="shared" si="6"/>
      </c>
      <c r="N24" s="39"/>
      <c r="O24" s="39">
        <f t="shared" si="7"/>
        <v>162508</v>
      </c>
      <c r="P24" s="39"/>
      <c r="Q24" s="43">
        <f t="shared" si="8"/>
        <v>0.0362852843063265</v>
      </c>
      <c r="R24" s="44">
        <f t="shared" si="9"/>
        <v>27.6</v>
      </c>
      <c r="S24" s="45">
        <f t="shared" si="10"/>
        <v>22</v>
      </c>
      <c r="T24" s="37">
        <v>21</v>
      </c>
      <c r="U24" s="24">
        <f t="shared" si="11"/>
        <v>0.025423586952287518</v>
      </c>
      <c r="V24" s="44">
        <f t="shared" si="12"/>
        <v>39.4</v>
      </c>
      <c r="W24" s="45">
        <f t="shared" si="13"/>
        <v>24</v>
      </c>
      <c r="X24" s="19"/>
      <c r="Y24" s="20" t="s">
        <v>65</v>
      </c>
      <c r="Z24" s="17"/>
      <c r="AA24" s="39">
        <f t="shared" si="14"/>
      </c>
      <c r="AB24" s="39">
        <f t="shared" si="15"/>
      </c>
      <c r="AC24" s="45"/>
      <c r="AD24" s="39">
        <f t="shared" si="16"/>
      </c>
      <c r="AE24" s="39">
        <f t="shared" si="17"/>
      </c>
      <c r="AF24" s="39">
        <f t="shared" si="18"/>
      </c>
      <c r="AG24" s="39"/>
      <c r="AH24" s="39">
        <f t="shared" si="19"/>
      </c>
      <c r="AI24" s="45"/>
      <c r="AJ24" s="39">
        <f t="shared" si="20"/>
        <v>4478620</v>
      </c>
      <c r="AK24" s="45">
        <f t="shared" si="21"/>
        <v>17</v>
      </c>
      <c r="AL24" s="45"/>
      <c r="AM24" s="1">
        <v>162508</v>
      </c>
      <c r="AN24" s="49"/>
      <c r="AO24" s="49"/>
      <c r="AP24" s="19">
        <f t="shared" si="22"/>
        <v>162508</v>
      </c>
      <c r="AQ24" s="47">
        <v>40755</v>
      </c>
      <c r="AR24" s="135" t="s">
        <v>130</v>
      </c>
      <c r="AS24" s="39">
        <v>66765</v>
      </c>
      <c r="AT24" s="40">
        <v>38017</v>
      </c>
      <c r="AU24" s="39">
        <v>55601</v>
      </c>
      <c r="AV24" s="45"/>
      <c r="AW24" s="39">
        <v>6392017</v>
      </c>
      <c r="AX24" s="39"/>
      <c r="AY24" s="19">
        <f t="shared" si="23"/>
      </c>
      <c r="AZ24" s="19">
        <f t="shared" si="24"/>
        <v>4478620</v>
      </c>
      <c r="BA24" s="19">
        <v>4478620</v>
      </c>
      <c r="BB24" s="30">
        <v>5130632</v>
      </c>
      <c r="BC24" s="39">
        <v>3536279</v>
      </c>
      <c r="BD24" s="31"/>
      <c r="BE24" s="39"/>
      <c r="BF24" s="39">
        <f t="shared" si="25"/>
        <v>4478620</v>
      </c>
      <c r="BG24" s="39"/>
      <c r="BH24" s="19">
        <f t="shared" si="26"/>
        <v>6392017</v>
      </c>
      <c r="BI24" s="45">
        <f t="shared" si="27"/>
        <v>16</v>
      </c>
    </row>
    <row r="25" spans="1:61" s="36" customFormat="1" ht="12.75">
      <c r="A25" s="17">
        <f aca="true" t="shared" si="28" ref="A25:A52">LOOKUP(B25,B$61:B$64,A$61:A$64)</f>
        <v>2</v>
      </c>
      <c r="B25" s="18" t="s">
        <v>53</v>
      </c>
      <c r="C25" s="17" t="s">
        <v>36</v>
      </c>
      <c r="D25" s="17" t="s">
        <v>71</v>
      </c>
      <c r="E25" s="18" t="str">
        <f t="shared" si="1"/>
        <v>Y</v>
      </c>
      <c r="F25" s="17"/>
      <c r="G25" s="19">
        <f t="shared" si="2"/>
        <v>97492</v>
      </c>
      <c r="H25" s="20" t="str">
        <f t="shared" si="3"/>
        <v>Bird</v>
      </c>
      <c r="I25" s="20">
        <f t="shared" si="4"/>
      </c>
      <c r="J25" s="126">
        <f t="shared" si="5"/>
        <v>38047</v>
      </c>
      <c r="K25" s="22"/>
      <c r="L25" s="23"/>
      <c r="M25" s="19">
        <f t="shared" si="6"/>
      </c>
      <c r="N25" s="19"/>
      <c r="O25" s="19">
        <f t="shared" si="7"/>
        <v>97492</v>
      </c>
      <c r="P25" s="19"/>
      <c r="Q25" s="24">
        <f t="shared" si="8"/>
        <v>0.03473880864258458</v>
      </c>
      <c r="R25" s="25">
        <f t="shared" si="9"/>
        <v>28.8</v>
      </c>
      <c r="S25" s="26">
        <f t="shared" si="10"/>
        <v>23</v>
      </c>
      <c r="T25" s="17">
        <v>21</v>
      </c>
      <c r="U25" s="24">
        <f t="shared" si="11"/>
        <v>0.025447694301911163</v>
      </c>
      <c r="V25" s="25">
        <f t="shared" si="12"/>
        <v>39.300000000000004</v>
      </c>
      <c r="W25" s="26">
        <f t="shared" si="13"/>
        <v>23</v>
      </c>
      <c r="X25" s="19"/>
      <c r="Y25" s="20" t="s">
        <v>65</v>
      </c>
      <c r="Z25" s="17"/>
      <c r="AA25" s="19">
        <f t="shared" si="14"/>
        <v>97492</v>
      </c>
      <c r="AB25" s="19">
        <f t="shared" si="15"/>
        <v>2806429</v>
      </c>
      <c r="AC25" s="26"/>
      <c r="AD25" s="19">
        <f t="shared" si="16"/>
      </c>
      <c r="AE25" s="19">
        <f t="shared" si="17"/>
      </c>
      <c r="AF25" s="19">
        <f t="shared" si="18"/>
      </c>
      <c r="AG25" s="19"/>
      <c r="AH25" s="19">
        <f t="shared" si="19"/>
      </c>
      <c r="AI25" s="26"/>
      <c r="AJ25" s="19">
        <f t="shared" si="20"/>
        <v>2806429</v>
      </c>
      <c r="AK25" s="26">
        <f t="shared" si="21"/>
        <v>27</v>
      </c>
      <c r="AL25" s="26"/>
      <c r="AM25" s="19"/>
      <c r="AN25" s="19"/>
      <c r="AO25" s="19"/>
      <c r="AP25" s="19">
        <f t="shared" si="22"/>
      </c>
      <c r="AQ25" s="29"/>
      <c r="AR25" s="134"/>
      <c r="AS25" s="19">
        <v>97492</v>
      </c>
      <c r="AT25" s="21">
        <v>38047</v>
      </c>
      <c r="AU25" s="19">
        <v>89328</v>
      </c>
      <c r="AV25" s="26"/>
      <c r="AW25" s="19">
        <v>3831074</v>
      </c>
      <c r="AX25" s="19"/>
      <c r="AY25" s="19">
        <f t="shared" si="23"/>
      </c>
      <c r="AZ25" s="19">
        <f t="shared" si="24"/>
        <v>2806429</v>
      </c>
      <c r="BA25" s="19">
        <v>2806429</v>
      </c>
      <c r="BB25" s="30">
        <v>3421399</v>
      </c>
      <c r="BC25" s="19">
        <v>2429348</v>
      </c>
      <c r="BD25" s="31"/>
      <c r="BE25" s="19"/>
      <c r="BF25" s="19">
        <f t="shared" si="25"/>
        <v>2806429</v>
      </c>
      <c r="BG25" s="19"/>
      <c r="BH25" s="19">
        <f t="shared" si="26"/>
        <v>3831074</v>
      </c>
      <c r="BI25" s="26">
        <f t="shared" si="27"/>
        <v>27</v>
      </c>
    </row>
    <row r="26" spans="1:61" s="33" customFormat="1" ht="12.75">
      <c r="A26" s="17">
        <f t="shared" si="28"/>
        <v>2</v>
      </c>
      <c r="B26" s="18" t="s">
        <v>53</v>
      </c>
      <c r="C26" s="17" t="s">
        <v>25</v>
      </c>
      <c r="D26" s="17" t="s">
        <v>71</v>
      </c>
      <c r="E26" s="18">
        <f t="shared" si="1"/>
      </c>
      <c r="F26" s="17"/>
      <c r="G26" s="19">
        <f t="shared" si="2"/>
        <v>26539</v>
      </c>
      <c r="H26" s="20" t="str">
        <f t="shared" si="3"/>
        <v>Official</v>
      </c>
      <c r="I26" s="20" t="str">
        <f t="shared" si="4"/>
        <v>Email</v>
      </c>
      <c r="J26" s="126">
        <f t="shared" si="5"/>
        <v>40766</v>
      </c>
      <c r="K26" s="22"/>
      <c r="L26" s="23"/>
      <c r="M26" s="19">
        <f t="shared" si="6"/>
      </c>
      <c r="N26" s="19"/>
      <c r="O26" s="19">
        <f t="shared" si="7"/>
        <v>26539</v>
      </c>
      <c r="P26" s="19"/>
      <c r="Q26" s="24">
        <f t="shared" si="8"/>
        <v>0.03465290943942172</v>
      </c>
      <c r="R26" s="25">
        <f t="shared" si="9"/>
        <v>28.900000000000002</v>
      </c>
      <c r="S26" s="26">
        <f t="shared" si="10"/>
        <v>24</v>
      </c>
      <c r="T26" s="17">
        <v>18</v>
      </c>
      <c r="U26" s="24">
        <f t="shared" si="11"/>
        <v>0.02682292061470667</v>
      </c>
      <c r="V26" s="25">
        <f t="shared" si="12"/>
        <v>37.300000000000004</v>
      </c>
      <c r="W26" s="26">
        <f t="shared" si="13"/>
        <v>21</v>
      </c>
      <c r="X26" s="19"/>
      <c r="Y26" s="20" t="s">
        <v>65</v>
      </c>
      <c r="Z26" s="17"/>
      <c r="AA26" s="19">
        <f t="shared" si="14"/>
        <v>26539</v>
      </c>
      <c r="AB26" s="19">
        <f t="shared" si="15"/>
        <v>765852</v>
      </c>
      <c r="AC26" s="26"/>
      <c r="AD26" s="19">
        <f t="shared" si="16"/>
      </c>
      <c r="AE26" s="19">
        <f t="shared" si="17"/>
      </c>
      <c r="AF26" s="19">
        <f t="shared" si="18"/>
      </c>
      <c r="AG26" s="19"/>
      <c r="AH26" s="19">
        <f t="shared" si="19"/>
      </c>
      <c r="AI26" s="26"/>
      <c r="AJ26" s="19">
        <f t="shared" si="20"/>
        <v>765852</v>
      </c>
      <c r="AK26" s="26">
        <f t="shared" si="21"/>
        <v>43</v>
      </c>
      <c r="AL26" s="26"/>
      <c r="AM26" s="19"/>
      <c r="AN26" s="1">
        <v>26539</v>
      </c>
      <c r="AO26" s="19"/>
      <c r="AP26" s="19">
        <f t="shared" si="22"/>
        <v>26539</v>
      </c>
      <c r="AQ26" s="29">
        <v>40766</v>
      </c>
      <c r="AR26" s="134" t="s">
        <v>131</v>
      </c>
      <c r="AS26" s="19">
        <v>11643</v>
      </c>
      <c r="AT26" s="21">
        <v>38018</v>
      </c>
      <c r="AU26" s="19">
        <v>5100</v>
      </c>
      <c r="AV26" s="26"/>
      <c r="AW26" s="19">
        <v>989415</v>
      </c>
      <c r="AX26" s="19">
        <v>223563</v>
      </c>
      <c r="AY26" s="19">
        <f t="shared" si="23"/>
        <v>765852</v>
      </c>
      <c r="AZ26" s="19">
        <f t="shared" si="24"/>
        <v>724590</v>
      </c>
      <c r="BA26" s="19">
        <v>724590</v>
      </c>
      <c r="BB26" s="30">
        <v>902195</v>
      </c>
      <c r="BC26" s="19">
        <v>631866</v>
      </c>
      <c r="BD26" s="31"/>
      <c r="BE26" s="19"/>
      <c r="BF26" s="19">
        <f t="shared" si="25"/>
        <v>765852</v>
      </c>
      <c r="BG26" s="19"/>
      <c r="BH26" s="19">
        <f t="shared" si="26"/>
        <v>989415</v>
      </c>
      <c r="BI26" s="26">
        <f t="shared" si="27"/>
        <v>44</v>
      </c>
    </row>
    <row r="27" spans="1:61" s="33" customFormat="1" ht="12.75">
      <c r="A27" s="17">
        <f t="shared" si="28"/>
        <v>2</v>
      </c>
      <c r="B27" s="18" t="s">
        <v>53</v>
      </c>
      <c r="C27" s="17" t="s">
        <v>24</v>
      </c>
      <c r="D27" s="17" t="s">
        <v>71</v>
      </c>
      <c r="E27" s="18">
        <f t="shared" si="1"/>
      </c>
      <c r="F27" s="17"/>
      <c r="G27" s="19">
        <f t="shared" si="2"/>
        <v>136528</v>
      </c>
      <c r="H27" s="20" t="str">
        <f t="shared" si="3"/>
        <v>Official</v>
      </c>
      <c r="I27" s="20" t="str">
        <f t="shared" si="4"/>
        <v>Link</v>
      </c>
      <c r="J27" s="126">
        <f t="shared" si="5"/>
        <v>40755</v>
      </c>
      <c r="K27" s="22"/>
      <c r="L27" s="23"/>
      <c r="M27" s="19">
        <f t="shared" si="6"/>
      </c>
      <c r="N27" s="19"/>
      <c r="O27" s="19">
        <f t="shared" si="7"/>
        <v>136528</v>
      </c>
      <c r="P27" s="19"/>
      <c r="Q27" s="24">
        <f t="shared" si="8"/>
        <v>0.03300497100388751</v>
      </c>
      <c r="R27" s="25">
        <f t="shared" si="9"/>
        <v>30.3</v>
      </c>
      <c r="S27" s="26">
        <f t="shared" si="10"/>
        <v>25</v>
      </c>
      <c r="T27" s="17">
        <v>23</v>
      </c>
      <c r="U27" s="24">
        <f t="shared" si="11"/>
        <v>0.02279673804673191</v>
      </c>
      <c r="V27" s="25">
        <f t="shared" si="12"/>
        <v>43.9</v>
      </c>
      <c r="W27" s="26">
        <f t="shared" si="13"/>
        <v>26</v>
      </c>
      <c r="X27" s="19"/>
      <c r="Y27" s="20" t="s">
        <v>65</v>
      </c>
      <c r="Z27" s="17"/>
      <c r="AA27" s="19">
        <f t="shared" si="14"/>
        <v>136528</v>
      </c>
      <c r="AB27" s="19">
        <f t="shared" si="15"/>
        <v>4136588.9999999995</v>
      </c>
      <c r="AC27" s="26"/>
      <c r="AD27" s="19">
        <f t="shared" si="16"/>
      </c>
      <c r="AE27" s="19">
        <f t="shared" si="17"/>
      </c>
      <c r="AF27" s="19">
        <f t="shared" si="18"/>
      </c>
      <c r="AG27" s="19"/>
      <c r="AH27" s="19">
        <f t="shared" si="19"/>
      </c>
      <c r="AI27" s="26"/>
      <c r="AJ27" s="19">
        <f t="shared" si="20"/>
        <v>4136588.9999999995</v>
      </c>
      <c r="AK27" s="26">
        <f t="shared" si="21"/>
        <v>19</v>
      </c>
      <c r="AL27" s="26"/>
      <c r="AM27" s="1">
        <v>136528</v>
      </c>
      <c r="AN27" s="28"/>
      <c r="AO27" s="28"/>
      <c r="AP27" s="19">
        <f t="shared" si="22"/>
        <v>136528</v>
      </c>
      <c r="AQ27" s="29">
        <v>40755</v>
      </c>
      <c r="AR27" s="134" t="s">
        <v>132</v>
      </c>
      <c r="AS27" s="19"/>
      <c r="AT27" s="21"/>
      <c r="AU27" s="19"/>
      <c r="AV27" s="26"/>
      <c r="AW27" s="19">
        <v>5988927</v>
      </c>
      <c r="AX27" s="19"/>
      <c r="AY27" s="19">
        <f t="shared" si="23"/>
      </c>
      <c r="AZ27" s="19">
        <f t="shared" si="24"/>
        <v>4300988</v>
      </c>
      <c r="BA27" s="19">
        <v>4300988</v>
      </c>
      <c r="BB27" s="30">
        <v>5595211</v>
      </c>
      <c r="BC27" s="19">
        <v>3919855</v>
      </c>
      <c r="BD27" s="31"/>
      <c r="BE27" s="19">
        <v>4136589</v>
      </c>
      <c r="BF27" s="19">
        <f t="shared" si="25"/>
        <v>4136589</v>
      </c>
      <c r="BG27" s="19"/>
      <c r="BH27" s="19">
        <f t="shared" si="26"/>
        <v>5988927</v>
      </c>
      <c r="BI27" s="26">
        <f t="shared" si="27"/>
        <v>18</v>
      </c>
    </row>
    <row r="28" spans="1:61" s="32" customFormat="1" ht="12.75">
      <c r="A28" s="17">
        <f t="shared" si="28"/>
        <v>2</v>
      </c>
      <c r="B28" s="18" t="s">
        <v>53</v>
      </c>
      <c r="C28" s="17" t="s">
        <v>14</v>
      </c>
      <c r="D28" s="17" t="s">
        <v>71</v>
      </c>
      <c r="E28" s="18">
        <f t="shared" si="1"/>
      </c>
      <c r="F28" s="17"/>
      <c r="G28" s="19">
        <f t="shared" si="2"/>
        <v>73399</v>
      </c>
      <c r="H28" s="20" t="str">
        <f t="shared" si="3"/>
        <v>Official</v>
      </c>
      <c r="I28" s="20" t="str">
        <f t="shared" si="4"/>
        <v>Email</v>
      </c>
      <c r="J28" s="126">
        <f t="shared" si="5"/>
        <v>40766</v>
      </c>
      <c r="K28" s="22"/>
      <c r="L28" s="23"/>
      <c r="M28" s="19">
        <f t="shared" si="6"/>
      </c>
      <c r="N28" s="19"/>
      <c r="O28" s="19">
        <f t="shared" si="7"/>
        <v>73399</v>
      </c>
      <c r="P28" s="19"/>
      <c r="Q28" s="24">
        <f t="shared" si="8"/>
        <v>0.03165985294790028</v>
      </c>
      <c r="R28" s="25">
        <f t="shared" si="9"/>
        <v>31.6</v>
      </c>
      <c r="S28" s="26">
        <f t="shared" si="10"/>
        <v>26</v>
      </c>
      <c r="T28" s="17">
        <v>18</v>
      </c>
      <c r="U28" s="24">
        <f t="shared" si="11"/>
        <v>0.024094040254665</v>
      </c>
      <c r="V28" s="25">
        <f t="shared" si="12"/>
        <v>41.6</v>
      </c>
      <c r="W28" s="26">
        <f t="shared" si="13"/>
        <v>25</v>
      </c>
      <c r="X28" s="52"/>
      <c r="Y28" s="20" t="s">
        <v>65</v>
      </c>
      <c r="Z28" s="53"/>
      <c r="AA28" s="19">
        <f t="shared" si="14"/>
        <v>73399</v>
      </c>
      <c r="AB28" s="19">
        <f t="shared" si="15"/>
        <v>2318362</v>
      </c>
      <c r="AC28" s="26"/>
      <c r="AD28" s="19">
        <f t="shared" si="16"/>
      </c>
      <c r="AE28" s="19">
        <f t="shared" si="17"/>
      </c>
      <c r="AF28" s="19">
        <f t="shared" si="18"/>
      </c>
      <c r="AG28" s="19"/>
      <c r="AH28" s="19">
        <f t="shared" si="19"/>
      </c>
      <c r="AI28" s="26"/>
      <c r="AJ28" s="19">
        <f t="shared" si="20"/>
        <v>2318362</v>
      </c>
      <c r="AK28" s="26">
        <f t="shared" si="21"/>
        <v>30</v>
      </c>
      <c r="AL28" s="26"/>
      <c r="AM28" s="19"/>
      <c r="AN28" s="1">
        <v>73399</v>
      </c>
      <c r="AO28" s="19"/>
      <c r="AP28" s="19">
        <f t="shared" si="22"/>
        <v>73399</v>
      </c>
      <c r="AQ28" s="29">
        <v>40766</v>
      </c>
      <c r="AR28" s="134" t="s">
        <v>133</v>
      </c>
      <c r="AS28" s="19"/>
      <c r="AT28" s="21"/>
      <c r="AU28" s="19">
        <v>25756</v>
      </c>
      <c r="AV28" s="26"/>
      <c r="AW28" s="19">
        <v>3046355</v>
      </c>
      <c r="AX28" s="19">
        <v>727993</v>
      </c>
      <c r="AY28" s="19">
        <f t="shared" si="23"/>
        <v>2318362</v>
      </c>
      <c r="AZ28" s="19">
        <f t="shared" si="24"/>
        <v>2135289.64543229</v>
      </c>
      <c r="BA28" s="19" t="s">
        <v>104</v>
      </c>
      <c r="BB28" s="30">
        <v>2926324</v>
      </c>
      <c r="BC28" s="19">
        <v>2051156</v>
      </c>
      <c r="BD28" s="31"/>
      <c r="BE28" s="19"/>
      <c r="BF28" s="19">
        <f t="shared" si="25"/>
        <v>2318362</v>
      </c>
      <c r="BG28" s="19"/>
      <c r="BH28" s="19">
        <f t="shared" si="26"/>
        <v>3046355</v>
      </c>
      <c r="BI28" s="26">
        <f t="shared" si="27"/>
        <v>30</v>
      </c>
    </row>
    <row r="29" spans="1:61" s="32" customFormat="1" ht="12.75">
      <c r="A29" s="17">
        <f t="shared" si="28"/>
        <v>2</v>
      </c>
      <c r="B29" s="18" t="s">
        <v>53</v>
      </c>
      <c r="C29" s="17" t="s">
        <v>0</v>
      </c>
      <c r="D29" s="17" t="s">
        <v>71</v>
      </c>
      <c r="E29" s="18" t="str">
        <f t="shared" si="1"/>
        <v>Y</v>
      </c>
      <c r="F29" s="17"/>
      <c r="G29" s="19">
        <f t="shared" si="2"/>
        <v>105869</v>
      </c>
      <c r="H29" s="20" t="str">
        <f t="shared" si="3"/>
        <v>CCRKBA</v>
      </c>
      <c r="I29" s="20">
        <f t="shared" si="4"/>
      </c>
      <c r="J29" s="126">
        <f t="shared" si="5"/>
        <v>36151</v>
      </c>
      <c r="K29" s="22"/>
      <c r="L29" s="23"/>
      <c r="M29" s="19">
        <f t="shared" si="6"/>
      </c>
      <c r="N29" s="19"/>
      <c r="O29" s="19">
        <f t="shared" si="7"/>
        <v>105869</v>
      </c>
      <c r="P29" s="19"/>
      <c r="Q29" s="24">
        <f t="shared" si="8"/>
        <v>0.029026860312501627</v>
      </c>
      <c r="R29" s="25">
        <f t="shared" si="9"/>
        <v>34.5</v>
      </c>
      <c r="S29" s="26">
        <f t="shared" si="10"/>
        <v>27</v>
      </c>
      <c r="T29" s="17">
        <v>18</v>
      </c>
      <c r="U29" s="24">
        <f t="shared" si="11"/>
        <v>0.022149549682241865</v>
      </c>
      <c r="V29" s="25">
        <f t="shared" si="12"/>
        <v>45.2</v>
      </c>
      <c r="W29" s="26">
        <f t="shared" si="13"/>
        <v>27</v>
      </c>
      <c r="X29" s="19"/>
      <c r="Y29" s="27" t="s">
        <v>64</v>
      </c>
      <c r="Z29" s="17"/>
      <c r="AA29" s="19">
        <f t="shared" si="14"/>
        <v>105869</v>
      </c>
      <c r="AB29" s="19">
        <f t="shared" si="15"/>
        <v>3647277</v>
      </c>
      <c r="AC29" s="26"/>
      <c r="AD29" s="19">
        <f t="shared" si="16"/>
        <v>105869</v>
      </c>
      <c r="AE29" s="19">
        <f t="shared" si="17"/>
        <v>3647277</v>
      </c>
      <c r="AF29" s="19">
        <f t="shared" si="18"/>
        <v>4779736</v>
      </c>
      <c r="AG29" s="19"/>
      <c r="AH29" s="19">
        <f t="shared" si="19"/>
        <v>4779736</v>
      </c>
      <c r="AI29" s="26"/>
      <c r="AJ29" s="19">
        <f t="shared" si="20"/>
        <v>3647277</v>
      </c>
      <c r="AK29" s="26">
        <f t="shared" si="21"/>
        <v>22</v>
      </c>
      <c r="AL29" s="26"/>
      <c r="AM29" s="19"/>
      <c r="AN29" s="19"/>
      <c r="AO29" s="19"/>
      <c r="AP29" s="19">
        <f t="shared" si="22"/>
      </c>
      <c r="AQ29" s="29"/>
      <c r="AR29" s="134"/>
      <c r="AS29" s="19"/>
      <c r="AT29" s="21"/>
      <c r="AU29" s="19">
        <v>105869</v>
      </c>
      <c r="AV29" s="26"/>
      <c r="AW29" s="19">
        <v>4779736</v>
      </c>
      <c r="AX29" s="19">
        <v>1132459</v>
      </c>
      <c r="AY29" s="19">
        <f t="shared" si="23"/>
        <v>3647277</v>
      </c>
      <c r="AZ29" s="19">
        <f t="shared" si="24"/>
        <v>3431106</v>
      </c>
      <c r="BA29" s="19">
        <v>3431106</v>
      </c>
      <c r="BB29" s="30">
        <v>4447100</v>
      </c>
      <c r="BC29" s="19">
        <v>3124317</v>
      </c>
      <c r="BD29" s="31"/>
      <c r="BE29" s="19"/>
      <c r="BF29" s="19">
        <f t="shared" si="25"/>
        <v>3647277</v>
      </c>
      <c r="BG29" s="19"/>
      <c r="BH29" s="19">
        <f t="shared" si="26"/>
        <v>4779736</v>
      </c>
      <c r="BI29" s="26">
        <f t="shared" si="27"/>
        <v>23</v>
      </c>
    </row>
    <row r="30" spans="1:61" s="33" customFormat="1" ht="12.75">
      <c r="A30" s="17">
        <f t="shared" si="28"/>
        <v>2</v>
      </c>
      <c r="B30" s="18" t="s">
        <v>53</v>
      </c>
      <c r="C30" s="17" t="s">
        <v>32</v>
      </c>
      <c r="D30" s="17" t="s">
        <v>71</v>
      </c>
      <c r="E30" s="18">
        <f t="shared" si="1"/>
      </c>
      <c r="F30" s="17"/>
      <c r="G30" s="19">
        <f t="shared" si="2"/>
        <v>195553</v>
      </c>
      <c r="H30" s="20" t="str">
        <f t="shared" si="3"/>
        <v>Official</v>
      </c>
      <c r="I30" s="20" t="str">
        <f t="shared" si="4"/>
        <v>Link</v>
      </c>
      <c r="J30" s="126">
        <f t="shared" si="5"/>
        <v>40359</v>
      </c>
      <c r="K30" s="22"/>
      <c r="L30" s="23"/>
      <c r="M30" s="19">
        <f t="shared" si="6"/>
      </c>
      <c r="N30" s="19"/>
      <c r="O30" s="19">
        <f t="shared" si="7"/>
        <v>195553</v>
      </c>
      <c r="P30" s="19"/>
      <c r="Q30" s="24">
        <f t="shared" si="8"/>
        <v>0.0286074912002776</v>
      </c>
      <c r="R30" s="25">
        <f t="shared" si="9"/>
        <v>35</v>
      </c>
      <c r="S30" s="26">
        <f t="shared" si="10"/>
        <v>28</v>
      </c>
      <c r="T30" s="17">
        <v>21</v>
      </c>
      <c r="U30" s="24">
        <f t="shared" si="11"/>
        <v>0.020507928124878415</v>
      </c>
      <c r="V30" s="25">
        <f t="shared" si="12"/>
        <v>48.800000000000004</v>
      </c>
      <c r="W30" s="26">
        <f t="shared" si="13"/>
        <v>28</v>
      </c>
      <c r="X30" s="19"/>
      <c r="Y30" s="20" t="s">
        <v>65</v>
      </c>
      <c r="Z30" s="17"/>
      <c r="AA30" s="19">
        <f t="shared" si="14"/>
        <v>195553</v>
      </c>
      <c r="AB30" s="19">
        <f t="shared" si="15"/>
        <v>6835727</v>
      </c>
      <c r="AC30" s="26"/>
      <c r="AD30" s="19">
        <f t="shared" si="16"/>
      </c>
      <c r="AE30" s="19">
        <f t="shared" si="17"/>
      </c>
      <c r="AF30" s="19">
        <f t="shared" si="18"/>
      </c>
      <c r="AG30" s="19"/>
      <c r="AH30" s="19">
        <f t="shared" si="19"/>
      </c>
      <c r="AI30" s="26"/>
      <c r="AJ30" s="19">
        <f t="shared" si="20"/>
        <v>6835727</v>
      </c>
      <c r="AK30" s="26">
        <f t="shared" si="21"/>
        <v>9</v>
      </c>
      <c r="AL30" s="26"/>
      <c r="AM30" s="1">
        <v>195553</v>
      </c>
      <c r="AN30" s="28"/>
      <c r="AO30" s="28"/>
      <c r="AP30" s="19">
        <f t="shared" si="22"/>
        <v>195553</v>
      </c>
      <c r="AQ30" s="29">
        <v>40359</v>
      </c>
      <c r="AR30" s="134" t="s">
        <v>134</v>
      </c>
      <c r="AS30" s="19">
        <v>61274</v>
      </c>
      <c r="AT30" s="21">
        <v>38057</v>
      </c>
      <c r="AU30" s="19">
        <v>28198</v>
      </c>
      <c r="AV30" s="26"/>
      <c r="AW30" s="19">
        <v>9535483</v>
      </c>
      <c r="AX30" s="19"/>
      <c r="AY30" s="19">
        <f t="shared" si="23"/>
      </c>
      <c r="AZ30" s="19">
        <f t="shared" si="24"/>
        <v>6835727</v>
      </c>
      <c r="BA30" s="19">
        <v>6835727</v>
      </c>
      <c r="BB30" s="30">
        <v>8049313</v>
      </c>
      <c r="BC30" s="19">
        <v>5733268</v>
      </c>
      <c r="BD30" s="31"/>
      <c r="BE30" s="19"/>
      <c r="BF30" s="19">
        <f t="shared" si="25"/>
        <v>6835727</v>
      </c>
      <c r="BG30" s="19"/>
      <c r="BH30" s="19">
        <f t="shared" si="26"/>
        <v>9535483</v>
      </c>
      <c r="BI30" s="26">
        <f t="shared" si="27"/>
        <v>10</v>
      </c>
    </row>
    <row r="31" spans="1:61" s="33" customFormat="1" ht="12.75">
      <c r="A31" s="17">
        <f t="shared" si="28"/>
        <v>2</v>
      </c>
      <c r="B31" s="18" t="s">
        <v>53</v>
      </c>
      <c r="C31" s="17" t="s">
        <v>34</v>
      </c>
      <c r="D31" s="17" t="s">
        <v>71</v>
      </c>
      <c r="E31" s="18">
        <f t="shared" si="1"/>
      </c>
      <c r="F31" s="17"/>
      <c r="G31" s="19">
        <f t="shared" si="2"/>
        <v>236481</v>
      </c>
      <c r="H31" s="20" t="str">
        <f t="shared" si="3"/>
        <v>Official</v>
      </c>
      <c r="I31" s="20" t="str">
        <f t="shared" si="4"/>
        <v>Link</v>
      </c>
      <c r="J31" s="126">
        <f t="shared" si="5"/>
        <v>40543</v>
      </c>
      <c r="K31" s="22"/>
      <c r="L31" s="23"/>
      <c r="M31" s="19">
        <f t="shared" si="6"/>
      </c>
      <c r="N31" s="19"/>
      <c r="O31" s="19">
        <f t="shared" si="7"/>
        <v>236481</v>
      </c>
      <c r="P31" s="19"/>
      <c r="Q31" s="24">
        <f t="shared" si="8"/>
        <v>0.02847318946534974</v>
      </c>
      <c r="R31" s="25">
        <f t="shared" si="9"/>
        <v>35.2</v>
      </c>
      <c r="S31" s="26">
        <f t="shared" si="10"/>
        <v>29</v>
      </c>
      <c r="T31" s="17">
        <v>21</v>
      </c>
      <c r="U31" s="24">
        <f t="shared" si="11"/>
        <v>0.020498497638452687</v>
      </c>
      <c r="V31" s="25">
        <f t="shared" si="12"/>
        <v>48.800000000000004</v>
      </c>
      <c r="W31" s="26">
        <f t="shared" si="13"/>
        <v>29</v>
      </c>
      <c r="X31" s="19"/>
      <c r="Y31" s="20" t="s">
        <v>65</v>
      </c>
      <c r="Z31" s="17"/>
      <c r="AA31" s="19">
        <f t="shared" si="14"/>
        <v>236481</v>
      </c>
      <c r="AB31" s="19">
        <f t="shared" si="15"/>
        <v>8305391.999999999</v>
      </c>
      <c r="AC31" s="26"/>
      <c r="AD31" s="19">
        <f t="shared" si="16"/>
      </c>
      <c r="AE31" s="19">
        <f t="shared" si="17"/>
      </c>
      <c r="AF31" s="19">
        <f t="shared" si="18"/>
      </c>
      <c r="AG31" s="19"/>
      <c r="AH31" s="19">
        <f t="shared" si="19"/>
      </c>
      <c r="AI31" s="26"/>
      <c r="AJ31" s="19">
        <f t="shared" si="20"/>
        <v>8305391.999999999</v>
      </c>
      <c r="AK31" s="26">
        <f t="shared" si="21"/>
        <v>7</v>
      </c>
      <c r="AL31" s="26"/>
      <c r="AM31" s="1">
        <v>236481</v>
      </c>
      <c r="AN31" s="19"/>
      <c r="AO31" s="19"/>
      <c r="AP31" s="19">
        <f t="shared" si="22"/>
        <v>236481</v>
      </c>
      <c r="AQ31" s="29">
        <v>40543</v>
      </c>
      <c r="AR31" s="134" t="s">
        <v>135</v>
      </c>
      <c r="AS31" s="19"/>
      <c r="AT31" s="21"/>
      <c r="AU31" s="19"/>
      <c r="AV31" s="26"/>
      <c r="AW31" s="19">
        <v>11536504</v>
      </c>
      <c r="AX31" s="19"/>
      <c r="AY31" s="19">
        <f t="shared" si="23"/>
      </c>
      <c r="AZ31" s="19">
        <f t="shared" si="24"/>
        <v>8305392</v>
      </c>
      <c r="BA31" s="19">
        <v>8305392</v>
      </c>
      <c r="BB31" s="30">
        <v>11353140</v>
      </c>
      <c r="BC31" s="19">
        <v>7977101</v>
      </c>
      <c r="BD31" s="31"/>
      <c r="BE31" s="19"/>
      <c r="BF31" s="19">
        <f t="shared" si="25"/>
        <v>8305392</v>
      </c>
      <c r="BG31" s="19"/>
      <c r="BH31" s="19">
        <f t="shared" si="26"/>
        <v>11536504</v>
      </c>
      <c r="BI31" s="26">
        <f t="shared" si="27"/>
        <v>7</v>
      </c>
    </row>
    <row r="32" spans="1:61" s="32" customFormat="1" ht="12.75">
      <c r="A32" s="17">
        <f t="shared" si="28"/>
        <v>2</v>
      </c>
      <c r="B32" s="18" t="s">
        <v>53</v>
      </c>
      <c r="C32" s="17" t="s">
        <v>42</v>
      </c>
      <c r="D32" s="17" t="s">
        <v>71</v>
      </c>
      <c r="E32" s="18">
        <f t="shared" si="1"/>
      </c>
      <c r="F32" s="17"/>
      <c r="G32" s="19">
        <f t="shared" si="2"/>
        <v>461724</v>
      </c>
      <c r="H32" s="20" t="str">
        <f t="shared" si="3"/>
        <v>Official</v>
      </c>
      <c r="I32" s="20" t="str">
        <f t="shared" si="4"/>
        <v>Link</v>
      </c>
      <c r="J32" s="126">
        <f t="shared" si="5"/>
        <v>40543</v>
      </c>
      <c r="K32" s="22"/>
      <c r="L32" s="23"/>
      <c r="M32" s="19">
        <f t="shared" si="6"/>
      </c>
      <c r="N32" s="19"/>
      <c r="O32" s="19">
        <f t="shared" si="7"/>
        <v>461724</v>
      </c>
      <c r="P32" s="19"/>
      <c r="Q32" s="24">
        <f t="shared" si="8"/>
        <v>0.0273840503329825</v>
      </c>
      <c r="R32" s="25">
        <f t="shared" si="9"/>
        <v>36.6</v>
      </c>
      <c r="S32" s="26">
        <f t="shared" si="10"/>
        <v>30</v>
      </c>
      <c r="T32" s="17">
        <v>21</v>
      </c>
      <c r="U32" s="24">
        <f t="shared" si="11"/>
        <v>0.018362048076795742</v>
      </c>
      <c r="V32" s="25">
        <f t="shared" si="12"/>
        <v>54.5</v>
      </c>
      <c r="W32" s="26">
        <f t="shared" si="13"/>
        <v>30</v>
      </c>
      <c r="X32" s="19"/>
      <c r="Y32" s="20" t="s">
        <v>65</v>
      </c>
      <c r="Z32" s="17"/>
      <c r="AA32" s="19">
        <f t="shared" si="14"/>
        <v>461724</v>
      </c>
      <c r="AB32" s="19">
        <f t="shared" si="15"/>
        <v>16861055.774641205</v>
      </c>
      <c r="AC32" s="26"/>
      <c r="AD32" s="19">
        <f t="shared" si="16"/>
      </c>
      <c r="AE32" s="19">
        <f t="shared" si="17"/>
      </c>
      <c r="AF32" s="19">
        <f t="shared" si="18"/>
      </c>
      <c r="AG32" s="19"/>
      <c r="AH32" s="19">
        <f t="shared" si="19"/>
      </c>
      <c r="AI32" s="26"/>
      <c r="AJ32" s="19">
        <f t="shared" si="20"/>
        <v>16861055.774641205</v>
      </c>
      <c r="AK32" s="26">
        <f t="shared" si="21"/>
        <v>2</v>
      </c>
      <c r="AL32" s="26"/>
      <c r="AM32" s="1">
        <v>461724</v>
      </c>
      <c r="AN32" s="19"/>
      <c r="AO32" s="19"/>
      <c r="AP32" s="19">
        <f t="shared" si="22"/>
        <v>461724</v>
      </c>
      <c r="AQ32" s="29">
        <v>40543</v>
      </c>
      <c r="AR32" s="134" t="s">
        <v>136</v>
      </c>
      <c r="AS32" s="19">
        <v>238232</v>
      </c>
      <c r="AT32" s="21">
        <v>38049</v>
      </c>
      <c r="AU32" s="19">
        <v>161433</v>
      </c>
      <c r="AV32" s="26"/>
      <c r="AW32" s="19">
        <v>25145561</v>
      </c>
      <c r="AX32" s="19"/>
      <c r="AY32" s="19">
        <f t="shared" si="23"/>
      </c>
      <c r="AZ32" s="19">
        <f t="shared" si="24"/>
        <v>16861055.774641205</v>
      </c>
      <c r="BA32" s="19" t="s">
        <v>104</v>
      </c>
      <c r="BB32" s="30">
        <v>20851820</v>
      </c>
      <c r="BC32" s="19">
        <v>13981939</v>
      </c>
      <c r="BD32" s="31"/>
      <c r="BE32" s="19"/>
      <c r="BF32" s="19">
        <f t="shared" si="25"/>
        <v>16861055.774641205</v>
      </c>
      <c r="BG32" s="19"/>
      <c r="BH32" s="19">
        <f t="shared" si="26"/>
        <v>25145561</v>
      </c>
      <c r="BI32" s="26">
        <f t="shared" si="27"/>
        <v>2</v>
      </c>
    </row>
    <row r="33" spans="1:61" s="33" customFormat="1" ht="12.75">
      <c r="A33" s="17">
        <f t="shared" si="28"/>
        <v>2</v>
      </c>
      <c r="B33" s="18" t="s">
        <v>53</v>
      </c>
      <c r="C33" s="17" t="s">
        <v>33</v>
      </c>
      <c r="D33" s="17" t="s">
        <v>71</v>
      </c>
      <c r="E33" s="18">
        <f t="shared" si="1"/>
      </c>
      <c r="F33" s="17"/>
      <c r="G33" s="19">
        <f t="shared" si="2"/>
        <v>12111</v>
      </c>
      <c r="H33" s="20" t="str">
        <f t="shared" si="3"/>
        <v>Official</v>
      </c>
      <c r="I33" s="20" t="str">
        <f t="shared" si="4"/>
        <v>Link</v>
      </c>
      <c r="J33" s="126">
        <f t="shared" si="5"/>
        <v>40178</v>
      </c>
      <c r="K33" s="22"/>
      <c r="L33" s="23"/>
      <c r="M33" s="19">
        <f t="shared" si="6"/>
      </c>
      <c r="N33" s="19"/>
      <c r="O33" s="19">
        <f t="shared" si="7"/>
        <v>12111</v>
      </c>
      <c r="P33" s="19"/>
      <c r="Q33" s="24">
        <f t="shared" si="8"/>
        <v>0.02316919191919192</v>
      </c>
      <c r="R33" s="25">
        <f t="shared" si="9"/>
        <v>43.2</v>
      </c>
      <c r="S33" s="26">
        <f t="shared" si="10"/>
        <v>31</v>
      </c>
      <c r="T33" s="17">
        <v>18</v>
      </c>
      <c r="U33" s="24">
        <f t="shared" si="11"/>
        <v>0.01800648536777923</v>
      </c>
      <c r="V33" s="25">
        <f t="shared" si="12"/>
        <v>55.6</v>
      </c>
      <c r="W33" s="26">
        <f t="shared" si="13"/>
        <v>32</v>
      </c>
      <c r="X33" s="19"/>
      <c r="Y33" s="27" t="s">
        <v>64</v>
      </c>
      <c r="Z33" s="17"/>
      <c r="AA33" s="19">
        <f t="shared" si="14"/>
        <v>12111</v>
      </c>
      <c r="AB33" s="19">
        <f t="shared" si="15"/>
        <v>522720</v>
      </c>
      <c r="AC33" s="26"/>
      <c r="AD33" s="19">
        <f t="shared" si="16"/>
        <v>12111</v>
      </c>
      <c r="AE33" s="19">
        <f t="shared" si="17"/>
        <v>522720</v>
      </c>
      <c r="AF33" s="19">
        <f t="shared" si="18"/>
        <v>672591</v>
      </c>
      <c r="AG33" s="19"/>
      <c r="AH33" s="19">
        <f t="shared" si="19"/>
        <v>672591</v>
      </c>
      <c r="AI33" s="26"/>
      <c r="AJ33" s="19">
        <f t="shared" si="20"/>
        <v>522720</v>
      </c>
      <c r="AK33" s="26">
        <f t="shared" si="21"/>
        <v>48</v>
      </c>
      <c r="AL33" s="26"/>
      <c r="AM33" s="1">
        <v>12111</v>
      </c>
      <c r="AN33" s="19"/>
      <c r="AO33" s="19"/>
      <c r="AP33" s="19">
        <f t="shared" si="22"/>
        <v>12111</v>
      </c>
      <c r="AQ33" s="29">
        <v>40178</v>
      </c>
      <c r="AR33" s="134" t="s">
        <v>137</v>
      </c>
      <c r="AS33" s="19"/>
      <c r="AT33" s="21">
        <v>38056</v>
      </c>
      <c r="AU33" s="19">
        <v>4872</v>
      </c>
      <c r="AV33" s="26"/>
      <c r="AW33" s="19">
        <v>672591</v>
      </c>
      <c r="AX33" s="19">
        <v>149871</v>
      </c>
      <c r="AY33" s="19">
        <f t="shared" si="23"/>
        <v>522720</v>
      </c>
      <c r="AZ33" s="19">
        <f t="shared" si="24"/>
        <v>468261.3732061663</v>
      </c>
      <c r="BA33" s="19" t="s">
        <v>104</v>
      </c>
      <c r="BB33" s="30">
        <v>642200</v>
      </c>
      <c r="BC33" s="19">
        <v>447103</v>
      </c>
      <c r="BD33" s="31"/>
      <c r="BE33" s="19"/>
      <c r="BF33" s="19">
        <f t="shared" si="25"/>
        <v>522720</v>
      </c>
      <c r="BG33" s="19"/>
      <c r="BH33" s="19">
        <f t="shared" si="26"/>
        <v>672591</v>
      </c>
      <c r="BI33" s="26">
        <f t="shared" si="27"/>
        <v>48</v>
      </c>
    </row>
    <row r="34" spans="1:61" s="33" customFormat="1" ht="12.75">
      <c r="A34" s="17">
        <f t="shared" si="28"/>
        <v>2</v>
      </c>
      <c r="B34" s="18" t="s">
        <v>53</v>
      </c>
      <c r="C34" s="17" t="s">
        <v>18</v>
      </c>
      <c r="D34" s="17" t="s">
        <v>71</v>
      </c>
      <c r="E34" s="18" t="str">
        <f t="shared" si="1"/>
        <v>Y</v>
      </c>
      <c r="F34" s="17"/>
      <c r="G34" s="19">
        <f t="shared" si="2"/>
        <v>24000</v>
      </c>
      <c r="H34" s="20" t="str">
        <f t="shared" si="3"/>
        <v>CCRKBA</v>
      </c>
      <c r="I34" s="20">
        <f t="shared" si="4"/>
      </c>
      <c r="J34" s="126">
        <f t="shared" si="5"/>
        <v>36151</v>
      </c>
      <c r="K34" s="22"/>
      <c r="L34" s="23"/>
      <c r="M34" s="19">
        <f t="shared" si="6"/>
      </c>
      <c r="N34" s="19"/>
      <c r="O34" s="19">
        <f t="shared" si="7"/>
        <v>24000</v>
      </c>
      <c r="P34" s="19"/>
      <c r="Q34" s="24">
        <f t="shared" si="8"/>
        <v>0.02277454716608718</v>
      </c>
      <c r="R34" s="25">
        <f t="shared" si="9"/>
        <v>44</v>
      </c>
      <c r="S34" s="26">
        <f t="shared" si="10"/>
        <v>32</v>
      </c>
      <c r="T34" s="17">
        <v>18</v>
      </c>
      <c r="U34" s="24">
        <f t="shared" si="11"/>
        <v>0.01806737776854334</v>
      </c>
      <c r="V34" s="25">
        <f t="shared" si="12"/>
        <v>55.4</v>
      </c>
      <c r="W34" s="26">
        <f t="shared" si="13"/>
        <v>31</v>
      </c>
      <c r="X34" s="19"/>
      <c r="Y34" s="27" t="s">
        <v>64</v>
      </c>
      <c r="Z34" s="17"/>
      <c r="AA34" s="19">
        <f t="shared" si="14"/>
        <v>24000</v>
      </c>
      <c r="AB34" s="19">
        <f t="shared" si="15"/>
        <v>1053808</v>
      </c>
      <c r="AC34" s="26"/>
      <c r="AD34" s="19">
        <f t="shared" si="16"/>
        <v>24000</v>
      </c>
      <c r="AE34" s="19">
        <f t="shared" si="17"/>
        <v>1053808</v>
      </c>
      <c r="AF34" s="19">
        <f t="shared" si="18"/>
        <v>1328361</v>
      </c>
      <c r="AG34" s="19"/>
      <c r="AH34" s="19">
        <f t="shared" si="19"/>
        <v>1328361</v>
      </c>
      <c r="AI34" s="26"/>
      <c r="AJ34" s="19">
        <f t="shared" si="20"/>
        <v>1053808</v>
      </c>
      <c r="AK34" s="26">
        <f t="shared" si="21"/>
        <v>40</v>
      </c>
      <c r="AL34" s="26"/>
      <c r="AM34" s="19"/>
      <c r="AN34" s="19"/>
      <c r="AO34" s="19"/>
      <c r="AP34" s="19">
        <f t="shared" si="22"/>
      </c>
      <c r="AQ34" s="29"/>
      <c r="AR34" s="134"/>
      <c r="AS34" s="19"/>
      <c r="AT34" s="21"/>
      <c r="AU34" s="19">
        <v>24000</v>
      </c>
      <c r="AV34" s="26"/>
      <c r="AW34" s="19">
        <v>1328361</v>
      </c>
      <c r="AX34" s="19">
        <v>274553</v>
      </c>
      <c r="AY34" s="19">
        <f t="shared" si="23"/>
        <v>1053808</v>
      </c>
      <c r="AZ34" s="19">
        <f t="shared" si="24"/>
        <v>999994</v>
      </c>
      <c r="BA34" s="19">
        <v>999994</v>
      </c>
      <c r="BB34" s="30">
        <v>1274923</v>
      </c>
      <c r="BC34" s="19">
        <v>924108</v>
      </c>
      <c r="BD34" s="31"/>
      <c r="BE34" s="19"/>
      <c r="BF34" s="19">
        <f t="shared" si="25"/>
        <v>1053808</v>
      </c>
      <c r="BG34" s="19"/>
      <c r="BH34" s="19">
        <f t="shared" si="26"/>
        <v>1328361</v>
      </c>
      <c r="BI34" s="26">
        <f t="shared" si="27"/>
        <v>41</v>
      </c>
    </row>
    <row r="35" spans="1:61" s="33" customFormat="1" ht="12.75">
      <c r="A35" s="17">
        <f t="shared" si="28"/>
        <v>2</v>
      </c>
      <c r="B35" s="18" t="s">
        <v>53</v>
      </c>
      <c r="C35" s="17" t="s">
        <v>22</v>
      </c>
      <c r="D35" s="17" t="s">
        <v>71</v>
      </c>
      <c r="E35" s="18">
        <f aca="true" t="shared" si="29" ref="E35:E66">IF(F35="Y","",IF(D35="Y",IF(VALUE(_xlfn.IFERROR(DATEDIF(J35,C$66,"y"),99))&gt;1,"Y",""),""))</f>
      </c>
      <c r="F35" s="17"/>
      <c r="G35" s="19">
        <f aca="true" t="shared" si="30" ref="G35:G52">IF(D35="Y",IF(AQ35&lt;&gt;"",IF(AQ35&gt;AT35,AP35,AS35),IF(AS35&gt;0,AS35,IF(AU35&gt;0,AU35,""))),"")</f>
        <v>79180</v>
      </c>
      <c r="H35" s="20" t="str">
        <f aca="true" t="shared" si="31" ref="H35:H66">IF(G35&lt;&gt;"",IF(AP35=G35,"Official",IF(AS35=G35,"Bird",IF(AU35=G35,"CCRKBA",""))),"")</f>
        <v>Official</v>
      </c>
      <c r="I35" s="20" t="str">
        <f aca="true" t="shared" si="32" ref="I35:I66">IF(H35="Official",IF(AM35&gt;0,"Link",IF(AN35&gt;0,"Email",IF(AO35&gt;0,"SWAG",""))),"")</f>
        <v>Link</v>
      </c>
      <c r="J35" s="126">
        <f aca="true" t="shared" si="33" ref="J35:J52">IF(H35="Official",AQ35,IF(H35="Bird",AT35,IF(H35="CCRKBA",DATE(1998,12,22),"")))</f>
        <v>40543</v>
      </c>
      <c r="K35" s="22"/>
      <c r="L35" s="23"/>
      <c r="M35" s="19">
        <f aca="true" t="shared" si="34" ref="M35:M66">IF(D35="Y",IF(G35="",IF(L35="",$M$2*AJ35,L35*AJ35),""),"")</f>
      </c>
      <c r="N35" s="19"/>
      <c r="O35" s="19">
        <f aca="true" t="shared" si="35" ref="O35:O52">IF(G35="",IF(M35="","",M35),G35)</f>
        <v>79180</v>
      </c>
      <c r="P35" s="19"/>
      <c r="Q35" s="24">
        <f aca="true" t="shared" si="36" ref="Q35:Q52">IF(O35="","",O35/AJ35)</f>
        <v>0.02083694080656172</v>
      </c>
      <c r="R35" s="25">
        <f aca="true" t="shared" si="37" ref="R35:R66">IF(Q35="","",IF(Q35&gt;0,ROUNDUP(1/Q35,1),""))</f>
        <v>48</v>
      </c>
      <c r="S35" s="26">
        <f aca="true" t="shared" si="38" ref="S35:S66">IF(R35="",IF(D35="Y",99,""),RANK(Q35,Q$3:Q$52))</f>
        <v>33</v>
      </c>
      <c r="T35" s="17">
        <v>21</v>
      </c>
      <c r="U35" s="24">
        <f aca="true" t="shared" si="39" ref="U35:U52">IF(Q35="","",O35/BH35)</f>
        <v>0.014928567051758839</v>
      </c>
      <c r="V35" s="25">
        <f aca="true" t="shared" si="40" ref="V35:V66">IF(U35="","",IF(U35&gt;0,ROUNDUP(1/U35,1),""))</f>
        <v>67</v>
      </c>
      <c r="W35" s="26">
        <f aca="true" t="shared" si="41" ref="W35:W66">IF(V35="",IF(D35="Y",99,""),RANK(U35,U$3:U$52))</f>
        <v>33</v>
      </c>
      <c r="X35" s="19"/>
      <c r="Y35" s="20" t="s">
        <v>65</v>
      </c>
      <c r="Z35" s="17"/>
      <c r="AA35" s="19">
        <f aca="true" t="shared" si="42" ref="AA35:AA66">IF(AB35="","",G35)</f>
        <v>79180</v>
      </c>
      <c r="AB35" s="19">
        <f aca="true" t="shared" si="43" ref="AB35:AB52">IF(B35="Shall Issue",IF(D35="Y",IF(H35="","",AJ35),""),"")</f>
        <v>3799981.9999999995</v>
      </c>
      <c r="AC35" s="26"/>
      <c r="AD35" s="19">
        <f aca="true" t="shared" si="44" ref="AD35:AD52">IF(Y35="Old",G35,"")</f>
      </c>
      <c r="AE35" s="19">
        <f aca="true" t="shared" si="45" ref="AE35:AE66">IF(AD35="","",AJ35)</f>
      </c>
      <c r="AF35" s="19">
        <f aca="true" t="shared" si="46" ref="AF35:AF66">IF(AE35="","",BH35)</f>
      </c>
      <c r="AG35" s="19"/>
      <c r="AH35" s="19">
        <f aca="true" t="shared" si="47" ref="AH35:AH52">IF(Y35="Old",BH35,"")</f>
      </c>
      <c r="AI35" s="26"/>
      <c r="AJ35" s="19">
        <f aca="true" t="shared" si="48" ref="AJ35:AJ52">BF35/AW35*BH35</f>
        <v>3799981.9999999995</v>
      </c>
      <c r="AK35" s="26">
        <f aca="true" t="shared" si="49" ref="AK35:AK66">RANK(AJ35,AJ$3:AJ$52)</f>
        <v>21</v>
      </c>
      <c r="AL35" s="26"/>
      <c r="AM35" s="1">
        <v>79180</v>
      </c>
      <c r="AN35" s="28"/>
      <c r="AO35" s="28"/>
      <c r="AP35" s="19">
        <f aca="true" t="shared" si="50" ref="AP35:AP66">IF(AM35&lt;&gt;"",AM35,IF(AN35&lt;&gt;"",AN35,IF(AO35&lt;&gt;"",AO35,"")))</f>
        <v>79180</v>
      </c>
      <c r="AQ35" s="29">
        <v>40543</v>
      </c>
      <c r="AR35" s="134" t="s">
        <v>138</v>
      </c>
      <c r="AS35" s="19">
        <v>15677</v>
      </c>
      <c r="AT35" s="21">
        <v>37986</v>
      </c>
      <c r="AU35" s="19">
        <v>3660</v>
      </c>
      <c r="AV35" s="26"/>
      <c r="AW35" s="19">
        <v>5303925</v>
      </c>
      <c r="AX35" s="19"/>
      <c r="AY35" s="19">
        <f aca="true" t="shared" si="51" ref="AY35:AY66">IF(T35=18,AW35-AX35,"")</f>
      </c>
      <c r="AZ35" s="19">
        <f aca="true" t="shared" si="52" ref="AZ35:AZ66">IF(BA35="",BC35/BB35*AW35,BA35)</f>
        <v>3799982</v>
      </c>
      <c r="BA35" s="19">
        <v>3799982</v>
      </c>
      <c r="BB35" s="30">
        <v>4919479</v>
      </c>
      <c r="BC35" s="19">
        <v>3414300</v>
      </c>
      <c r="BD35" s="31"/>
      <c r="BE35" s="19"/>
      <c r="BF35" s="19">
        <f aca="true" t="shared" si="53" ref="BF35:BF66">IF(T35=18,AY35,IF(T35&gt;21,BE35,AZ35))</f>
        <v>3799982</v>
      </c>
      <c r="BG35" s="19"/>
      <c r="BH35" s="19">
        <f aca="true" t="shared" si="54" ref="BH35:BH52">AW35</f>
        <v>5303925</v>
      </c>
      <c r="BI35" s="26">
        <f aca="true" t="shared" si="55" ref="BI35:BI66">RANK(BH35,BH$3:BH$52)</f>
        <v>21</v>
      </c>
    </row>
    <row r="36" spans="1:61" s="33" customFormat="1" ht="12.75">
      <c r="A36" s="17">
        <f t="shared" si="28"/>
        <v>2</v>
      </c>
      <c r="B36" s="18" t="s">
        <v>53</v>
      </c>
      <c r="C36" s="17" t="s">
        <v>5</v>
      </c>
      <c r="D36" s="17" t="s">
        <v>71</v>
      </c>
      <c r="E36" s="18">
        <f t="shared" si="29"/>
      </c>
      <c r="F36" s="17"/>
      <c r="G36" s="19">
        <f t="shared" si="30"/>
        <v>66038</v>
      </c>
      <c r="H36" s="20" t="str">
        <f t="shared" si="31"/>
        <v>Official</v>
      </c>
      <c r="I36" s="20" t="str">
        <f t="shared" si="32"/>
        <v>Link</v>
      </c>
      <c r="J36" s="126">
        <f t="shared" si="33"/>
        <v>40268</v>
      </c>
      <c r="K36" s="22"/>
      <c r="L36" s="23"/>
      <c r="M36" s="19">
        <f t="shared" si="34"/>
      </c>
      <c r="N36" s="19"/>
      <c r="O36" s="19">
        <f t="shared" si="35"/>
        <v>66038</v>
      </c>
      <c r="P36" s="19"/>
      <c r="Q36" s="24">
        <f t="shared" si="36"/>
        <v>0.01836905960306164</v>
      </c>
      <c r="R36" s="25">
        <f t="shared" si="37"/>
        <v>54.5</v>
      </c>
      <c r="S36" s="26">
        <f t="shared" si="38"/>
        <v>34</v>
      </c>
      <c r="T36" s="17">
        <v>21</v>
      </c>
      <c r="U36" s="24">
        <f t="shared" si="39"/>
        <v>0.013130925897499321</v>
      </c>
      <c r="V36" s="25">
        <f t="shared" si="40"/>
        <v>76.19999999999999</v>
      </c>
      <c r="W36" s="26">
        <f t="shared" si="41"/>
        <v>34</v>
      </c>
      <c r="X36" s="19"/>
      <c r="Y36" s="20" t="s">
        <v>65</v>
      </c>
      <c r="Z36" s="17"/>
      <c r="AA36" s="19">
        <f t="shared" si="42"/>
        <v>66038</v>
      </c>
      <c r="AB36" s="19">
        <f t="shared" si="43"/>
        <v>3595067</v>
      </c>
      <c r="AC36" s="26"/>
      <c r="AD36" s="19">
        <f t="shared" si="44"/>
      </c>
      <c r="AE36" s="19">
        <f t="shared" si="45"/>
      </c>
      <c r="AF36" s="19">
        <f t="shared" si="46"/>
      </c>
      <c r="AG36" s="19"/>
      <c r="AH36" s="19">
        <f t="shared" si="47"/>
      </c>
      <c r="AI36" s="26"/>
      <c r="AJ36" s="19">
        <f t="shared" si="48"/>
        <v>3595067</v>
      </c>
      <c r="AK36" s="26">
        <f t="shared" si="49"/>
        <v>23</v>
      </c>
      <c r="AL36" s="26"/>
      <c r="AM36" s="1">
        <f>66038</f>
        <v>66038</v>
      </c>
      <c r="AN36" s="19"/>
      <c r="AO36" s="19"/>
      <c r="AP36" s="19">
        <f t="shared" si="50"/>
        <v>66038</v>
      </c>
      <c r="AQ36" s="29">
        <v>40268</v>
      </c>
      <c r="AR36" s="134" t="s">
        <v>139</v>
      </c>
      <c r="AS36" s="19"/>
      <c r="AT36" s="21"/>
      <c r="AU36" s="19">
        <v>6300</v>
      </c>
      <c r="AV36" s="26"/>
      <c r="AW36" s="19">
        <v>5029196</v>
      </c>
      <c r="AX36" s="19"/>
      <c r="AY36" s="19">
        <f t="shared" si="51"/>
      </c>
      <c r="AZ36" s="19">
        <f t="shared" si="52"/>
        <v>3595067</v>
      </c>
      <c r="BA36" s="19">
        <v>3595067</v>
      </c>
      <c r="BB36" s="30">
        <v>4301261</v>
      </c>
      <c r="BC36" s="19">
        <v>3014312</v>
      </c>
      <c r="BD36" s="31"/>
      <c r="BE36" s="19"/>
      <c r="BF36" s="19">
        <f t="shared" si="53"/>
        <v>3595067</v>
      </c>
      <c r="BG36" s="19"/>
      <c r="BH36" s="19">
        <f t="shared" si="54"/>
        <v>5029196</v>
      </c>
      <c r="BI36" s="26">
        <f t="shared" si="55"/>
        <v>22</v>
      </c>
    </row>
    <row r="37" spans="1:61" s="33" customFormat="1" ht="12.75">
      <c r="A37" s="17">
        <f t="shared" si="28"/>
        <v>2</v>
      </c>
      <c r="B37" s="18" t="s">
        <v>53</v>
      </c>
      <c r="C37" s="17" t="s">
        <v>15</v>
      </c>
      <c r="D37" s="17" t="s">
        <v>71</v>
      </c>
      <c r="E37" s="18">
        <f t="shared" si="29"/>
      </c>
      <c r="F37" s="17"/>
      <c r="G37" s="19">
        <f t="shared" si="30"/>
        <v>33769</v>
      </c>
      <c r="H37" s="20" t="str">
        <f t="shared" si="31"/>
        <v>Official</v>
      </c>
      <c r="I37" s="20" t="str">
        <f t="shared" si="32"/>
        <v>Link</v>
      </c>
      <c r="J37" s="126">
        <f t="shared" si="33"/>
        <v>40695</v>
      </c>
      <c r="K37" s="22"/>
      <c r="L37" s="23"/>
      <c r="M37" s="19">
        <f t="shared" si="34"/>
      </c>
      <c r="N37" s="19"/>
      <c r="O37" s="19">
        <f t="shared" si="35"/>
        <v>33769</v>
      </c>
      <c r="P37" s="19"/>
      <c r="Q37" s="24">
        <f t="shared" si="36"/>
        <v>0.01688689793950741</v>
      </c>
      <c r="R37" s="25">
        <f t="shared" si="37"/>
        <v>59.300000000000004</v>
      </c>
      <c r="S37" s="26">
        <f t="shared" si="38"/>
        <v>35</v>
      </c>
      <c r="T37" s="17">
        <v>21</v>
      </c>
      <c r="U37" s="24">
        <f t="shared" si="39"/>
        <v>0.011835823124034828</v>
      </c>
      <c r="V37" s="25">
        <f t="shared" si="40"/>
        <v>84.5</v>
      </c>
      <c r="W37" s="26">
        <f t="shared" si="41"/>
        <v>35</v>
      </c>
      <c r="X37" s="50"/>
      <c r="Y37" s="20" t="s">
        <v>65</v>
      </c>
      <c r="Z37" s="51"/>
      <c r="AA37" s="19">
        <f t="shared" si="42"/>
        <v>33769</v>
      </c>
      <c r="AB37" s="19">
        <f t="shared" si="43"/>
        <v>1999716</v>
      </c>
      <c r="AC37" s="26"/>
      <c r="AD37" s="19">
        <f t="shared" si="44"/>
      </c>
      <c r="AE37" s="19">
        <f t="shared" si="45"/>
      </c>
      <c r="AF37" s="19">
        <f t="shared" si="46"/>
      </c>
      <c r="AG37" s="19"/>
      <c r="AH37" s="19">
        <f t="shared" si="47"/>
      </c>
      <c r="AI37" s="26"/>
      <c r="AJ37" s="19">
        <f t="shared" si="48"/>
        <v>1999716</v>
      </c>
      <c r="AK37" s="26">
        <f t="shared" si="49"/>
        <v>33</v>
      </c>
      <c r="AL37" s="26"/>
      <c r="AM37" s="1">
        <v>33769</v>
      </c>
      <c r="AN37" s="19"/>
      <c r="AO37" s="19"/>
      <c r="AP37" s="19">
        <f t="shared" si="50"/>
        <v>33769</v>
      </c>
      <c r="AQ37" s="29">
        <v>40695</v>
      </c>
      <c r="AR37" s="134" t="s">
        <v>140</v>
      </c>
      <c r="AS37" s="19"/>
      <c r="AT37" s="21"/>
      <c r="AU37" s="19"/>
      <c r="AV37" s="26"/>
      <c r="AW37" s="19">
        <v>2853118</v>
      </c>
      <c r="AX37" s="19"/>
      <c r="AY37" s="19">
        <f t="shared" si="51"/>
      </c>
      <c r="AZ37" s="19">
        <f t="shared" si="52"/>
        <v>1999716</v>
      </c>
      <c r="BA37" s="19">
        <v>1999716</v>
      </c>
      <c r="BB37" s="30">
        <v>2688418</v>
      </c>
      <c r="BC37" s="19">
        <v>1847513</v>
      </c>
      <c r="BD37" s="31"/>
      <c r="BE37" s="19"/>
      <c r="BF37" s="19">
        <f t="shared" si="53"/>
        <v>1999716</v>
      </c>
      <c r="BG37" s="19"/>
      <c r="BH37" s="19">
        <f t="shared" si="54"/>
        <v>2853118</v>
      </c>
      <c r="BI37" s="26">
        <f t="shared" si="55"/>
        <v>33</v>
      </c>
    </row>
    <row r="38" spans="1:61" s="32" customFormat="1" ht="12.75">
      <c r="A38" s="17">
        <f t="shared" si="28"/>
        <v>2</v>
      </c>
      <c r="B38" s="18" t="s">
        <v>53</v>
      </c>
      <c r="C38" s="17" t="s">
        <v>17</v>
      </c>
      <c r="D38" s="17" t="s">
        <v>71</v>
      </c>
      <c r="E38" s="18">
        <f t="shared" si="29"/>
      </c>
      <c r="F38" s="17"/>
      <c r="G38" s="19">
        <f t="shared" si="30"/>
        <v>37782</v>
      </c>
      <c r="H38" s="20" t="str">
        <f t="shared" si="31"/>
        <v>Official</v>
      </c>
      <c r="I38" s="20" t="str">
        <f t="shared" si="32"/>
        <v>Email</v>
      </c>
      <c r="J38" s="126">
        <f t="shared" si="33"/>
        <v>40765</v>
      </c>
      <c r="K38" s="22"/>
      <c r="L38" s="23"/>
      <c r="M38" s="19">
        <f t="shared" si="34"/>
      </c>
      <c r="N38" s="19"/>
      <c r="O38" s="19">
        <f t="shared" si="35"/>
        <v>37782</v>
      </c>
      <c r="P38" s="19"/>
      <c r="Q38" s="24">
        <f t="shared" si="36"/>
        <v>0.012296236042061124</v>
      </c>
      <c r="R38" s="25">
        <f t="shared" si="37"/>
        <v>81.39999999999999</v>
      </c>
      <c r="S38" s="26">
        <f t="shared" si="38"/>
        <v>36</v>
      </c>
      <c r="T38" s="17">
        <v>21</v>
      </c>
      <c r="U38" s="24">
        <f t="shared" si="39"/>
        <v>0.00833419362011324</v>
      </c>
      <c r="V38" s="25">
        <f t="shared" si="40"/>
        <v>120</v>
      </c>
      <c r="W38" s="26">
        <f t="shared" si="41"/>
        <v>36</v>
      </c>
      <c r="X38" s="19"/>
      <c r="Y38" s="20" t="s">
        <v>65</v>
      </c>
      <c r="Z38" s="17"/>
      <c r="AA38" s="19">
        <f t="shared" si="42"/>
        <v>37782</v>
      </c>
      <c r="AB38" s="19">
        <f t="shared" si="43"/>
        <v>3072647.5866892105</v>
      </c>
      <c r="AC38" s="26"/>
      <c r="AD38" s="19">
        <f t="shared" si="44"/>
      </c>
      <c r="AE38" s="19">
        <f t="shared" si="45"/>
      </c>
      <c r="AF38" s="19">
        <f t="shared" si="46"/>
      </c>
      <c r="AG38" s="19"/>
      <c r="AH38" s="19">
        <f t="shared" si="47"/>
      </c>
      <c r="AI38" s="26"/>
      <c r="AJ38" s="19">
        <f t="shared" si="48"/>
        <v>3072647.5866892105</v>
      </c>
      <c r="AK38" s="26">
        <f t="shared" si="49"/>
        <v>26</v>
      </c>
      <c r="AL38" s="26"/>
      <c r="AM38" s="28"/>
      <c r="AN38" s="1">
        <v>37782</v>
      </c>
      <c r="AO38" s="28"/>
      <c r="AP38" s="19">
        <f t="shared" si="50"/>
        <v>37782</v>
      </c>
      <c r="AQ38" s="29">
        <v>40765</v>
      </c>
      <c r="AR38" s="134" t="s">
        <v>141</v>
      </c>
      <c r="AS38" s="19">
        <v>13032</v>
      </c>
      <c r="AT38" s="21">
        <v>38049</v>
      </c>
      <c r="AU38" s="19">
        <v>7207</v>
      </c>
      <c r="AV38" s="26"/>
      <c r="AW38" s="19">
        <v>4533372</v>
      </c>
      <c r="AX38" s="19"/>
      <c r="AY38" s="19">
        <f t="shared" si="51"/>
      </c>
      <c r="AZ38" s="19">
        <f t="shared" si="52"/>
        <v>3072647.5866892105</v>
      </c>
      <c r="BA38" s="19" t="s">
        <v>104</v>
      </c>
      <c r="BB38" s="30">
        <v>4468976</v>
      </c>
      <c r="BC38" s="19">
        <v>3029001</v>
      </c>
      <c r="BD38" s="31"/>
      <c r="BE38" s="19"/>
      <c r="BF38" s="19">
        <f t="shared" si="53"/>
        <v>3072647.5866892105</v>
      </c>
      <c r="BG38" s="19"/>
      <c r="BH38" s="19">
        <f t="shared" si="54"/>
        <v>4533372</v>
      </c>
      <c r="BI38" s="26">
        <f t="shared" si="55"/>
        <v>25</v>
      </c>
    </row>
    <row r="39" spans="1:61" s="33" customFormat="1" ht="12.75">
      <c r="A39" s="17">
        <f t="shared" si="28"/>
        <v>2</v>
      </c>
      <c r="B39" s="18" t="s">
        <v>53</v>
      </c>
      <c r="C39" s="17" t="s">
        <v>27</v>
      </c>
      <c r="D39" s="17" t="s">
        <v>71</v>
      </c>
      <c r="E39" s="18">
        <f t="shared" si="29"/>
      </c>
      <c r="F39" s="17" t="s">
        <v>71</v>
      </c>
      <c r="G39" s="19">
        <f t="shared" si="30"/>
        <v>18369</v>
      </c>
      <c r="H39" s="20" t="str">
        <f t="shared" si="31"/>
        <v>Bird</v>
      </c>
      <c r="I39" s="20">
        <f t="shared" si="32"/>
      </c>
      <c r="J39" s="126">
        <f t="shared" si="33"/>
        <v>38056</v>
      </c>
      <c r="K39" s="22"/>
      <c r="L39" s="23"/>
      <c r="M39" s="19">
        <f t="shared" si="34"/>
      </c>
      <c r="N39" s="19"/>
      <c r="O39" s="19">
        <f t="shared" si="35"/>
        <v>18369</v>
      </c>
      <c r="P39" s="19"/>
      <c r="Q39" s="24">
        <f t="shared" si="36"/>
        <v>0.009524184813464622</v>
      </c>
      <c r="R39" s="25">
        <f t="shared" si="37"/>
        <v>105</v>
      </c>
      <c r="S39" s="26">
        <f t="shared" si="38"/>
        <v>37</v>
      </c>
      <c r="T39" s="17">
        <v>21</v>
      </c>
      <c r="U39" s="24">
        <f t="shared" si="39"/>
        <v>0.006801945232658076</v>
      </c>
      <c r="V39" s="25">
        <f t="shared" si="40"/>
        <v>147.1</v>
      </c>
      <c r="W39" s="26">
        <f t="shared" si="41"/>
        <v>37</v>
      </c>
      <c r="X39" s="19"/>
      <c r="Y39" s="20" t="s">
        <v>65</v>
      </c>
      <c r="Z39" s="17"/>
      <c r="AA39" s="19">
        <f t="shared" si="42"/>
        <v>18369</v>
      </c>
      <c r="AB39" s="19">
        <f t="shared" si="43"/>
        <v>1928669</v>
      </c>
      <c r="AC39" s="26"/>
      <c r="AD39" s="19">
        <f t="shared" si="44"/>
      </c>
      <c r="AE39" s="19">
        <f t="shared" si="45"/>
      </c>
      <c r="AF39" s="19">
        <f t="shared" si="46"/>
      </c>
      <c r="AG39" s="19"/>
      <c r="AH39" s="19">
        <f t="shared" si="47"/>
      </c>
      <c r="AI39" s="26"/>
      <c r="AJ39" s="19">
        <f t="shared" si="48"/>
        <v>1928669</v>
      </c>
      <c r="AK39" s="26">
        <f t="shared" si="49"/>
        <v>34</v>
      </c>
      <c r="AL39" s="26"/>
      <c r="AM39" s="19"/>
      <c r="AN39" s="19"/>
      <c r="AO39" s="19"/>
      <c r="AP39" s="19">
        <f t="shared" si="50"/>
      </c>
      <c r="AQ39" s="29"/>
      <c r="AR39" s="134"/>
      <c r="AS39" s="19">
        <v>18369</v>
      </c>
      <c r="AT39" s="21">
        <v>38056</v>
      </c>
      <c r="AU39" s="19">
        <v>9108</v>
      </c>
      <c r="AV39" s="26"/>
      <c r="AW39" s="19">
        <v>2700551</v>
      </c>
      <c r="AX39" s="19"/>
      <c r="AY39" s="19">
        <f t="shared" si="51"/>
      </c>
      <c r="AZ39" s="19">
        <f t="shared" si="52"/>
        <v>1928669</v>
      </c>
      <c r="BA39" s="19">
        <v>1928669</v>
      </c>
      <c r="BB39" s="30">
        <v>1998257</v>
      </c>
      <c r="BC39" s="19">
        <v>1411378</v>
      </c>
      <c r="BD39" s="31"/>
      <c r="BE39" s="19"/>
      <c r="BF39" s="19">
        <f t="shared" si="53"/>
        <v>1928669</v>
      </c>
      <c r="BG39" s="19"/>
      <c r="BH39" s="19">
        <f t="shared" si="54"/>
        <v>2700551</v>
      </c>
      <c r="BI39" s="26">
        <f t="shared" si="55"/>
        <v>35</v>
      </c>
    </row>
    <row r="40" spans="1:61" s="33" customFormat="1" ht="12.75">
      <c r="A40" s="17">
        <f t="shared" si="28"/>
        <v>2</v>
      </c>
      <c r="B40" s="18" t="s">
        <v>53</v>
      </c>
      <c r="C40" s="18" t="s">
        <v>26</v>
      </c>
      <c r="D40" s="18" t="s">
        <v>71</v>
      </c>
      <c r="E40" s="18">
        <f t="shared" si="29"/>
      </c>
      <c r="F40" s="18"/>
      <c r="G40" s="19">
        <f t="shared" si="30"/>
        <v>12217</v>
      </c>
      <c r="H40" s="20" t="str">
        <f t="shared" si="31"/>
        <v>Official</v>
      </c>
      <c r="I40" s="20" t="str">
        <f t="shared" si="32"/>
        <v>Email</v>
      </c>
      <c r="J40" s="126">
        <f t="shared" si="33"/>
        <v>40771</v>
      </c>
      <c r="K40" s="22"/>
      <c r="L40" s="23"/>
      <c r="M40" s="19">
        <f t="shared" si="34"/>
      </c>
      <c r="N40" s="19"/>
      <c r="O40" s="19">
        <f t="shared" si="35"/>
        <v>12217</v>
      </c>
      <c r="P40" s="19"/>
      <c r="Q40" s="24">
        <f t="shared" si="36"/>
        <v>0.009492699626803337</v>
      </c>
      <c r="R40" s="25">
        <f t="shared" si="37"/>
        <v>105.39999999999999</v>
      </c>
      <c r="S40" s="26">
        <f t="shared" si="38"/>
        <v>38</v>
      </c>
      <c r="T40" s="17">
        <v>21</v>
      </c>
      <c r="U40" s="24">
        <f t="shared" si="39"/>
        <v>0.006689331291363442</v>
      </c>
      <c r="V40" s="25">
        <f t="shared" si="40"/>
        <v>149.5</v>
      </c>
      <c r="W40" s="26">
        <f t="shared" si="41"/>
        <v>38</v>
      </c>
      <c r="X40" s="19"/>
      <c r="Y40" s="20" t="s">
        <v>65</v>
      </c>
      <c r="Z40" s="17"/>
      <c r="AA40" s="19">
        <f t="shared" si="42"/>
        <v>12217</v>
      </c>
      <c r="AB40" s="19">
        <f t="shared" si="43"/>
        <v>1286989</v>
      </c>
      <c r="AC40" s="26"/>
      <c r="AD40" s="19">
        <f t="shared" si="44"/>
      </c>
      <c r="AE40" s="19">
        <f t="shared" si="45"/>
      </c>
      <c r="AF40" s="19">
        <f t="shared" si="46"/>
      </c>
      <c r="AG40" s="19"/>
      <c r="AH40" s="19">
        <f t="shared" si="47"/>
      </c>
      <c r="AI40" s="26"/>
      <c r="AJ40" s="19">
        <f t="shared" si="48"/>
        <v>1286989</v>
      </c>
      <c r="AK40" s="26">
        <f t="shared" si="49"/>
        <v>38</v>
      </c>
      <c r="AL40" s="26"/>
      <c r="AM40" s="19"/>
      <c r="AN40" s="19">
        <v>12217</v>
      </c>
      <c r="AO40" s="19"/>
      <c r="AP40" s="19">
        <f t="shared" si="50"/>
        <v>12217</v>
      </c>
      <c r="AQ40" s="29">
        <v>40771</v>
      </c>
      <c r="AR40" s="134" t="s">
        <v>147</v>
      </c>
      <c r="AS40" s="19"/>
      <c r="AT40" s="21"/>
      <c r="AU40" s="19"/>
      <c r="AV40" s="26"/>
      <c r="AW40" s="19">
        <v>1826341</v>
      </c>
      <c r="AX40" s="19"/>
      <c r="AY40" s="19">
        <f t="shared" si="51"/>
      </c>
      <c r="AZ40" s="19">
        <f t="shared" si="52"/>
        <v>1286989</v>
      </c>
      <c r="BA40" s="19">
        <v>1286989</v>
      </c>
      <c r="BB40" s="30">
        <v>1711263</v>
      </c>
      <c r="BC40" s="19">
        <v>1180859</v>
      </c>
      <c r="BD40" s="31"/>
      <c r="BE40" s="19"/>
      <c r="BF40" s="19">
        <f t="shared" si="53"/>
        <v>1286989</v>
      </c>
      <c r="BG40" s="19"/>
      <c r="BH40" s="19">
        <f t="shared" si="54"/>
        <v>1826341</v>
      </c>
      <c r="BI40" s="26">
        <f t="shared" si="55"/>
        <v>38</v>
      </c>
    </row>
    <row r="41" spans="1:61" s="33" customFormat="1" ht="12.75">
      <c r="A41" s="17">
        <f t="shared" si="28"/>
        <v>2</v>
      </c>
      <c r="B41" s="18" t="s">
        <v>53</v>
      </c>
      <c r="C41" s="17" t="s">
        <v>23</v>
      </c>
      <c r="D41" s="17" t="s">
        <v>71</v>
      </c>
      <c r="E41" s="18">
        <f t="shared" si="29"/>
      </c>
      <c r="F41" s="17" t="s">
        <v>71</v>
      </c>
      <c r="G41" s="19">
        <f t="shared" si="30"/>
        <v>16700</v>
      </c>
      <c r="H41" s="20" t="str">
        <f t="shared" si="31"/>
        <v>Bird</v>
      </c>
      <c r="I41" s="20">
        <f t="shared" si="32"/>
      </c>
      <c r="J41" s="126">
        <f t="shared" si="33"/>
        <v>38047</v>
      </c>
      <c r="K41" s="22"/>
      <c r="L41" s="23"/>
      <c r="M41" s="19">
        <f t="shared" si="34"/>
      </c>
      <c r="N41" s="19"/>
      <c r="O41" s="19">
        <f t="shared" si="35"/>
        <v>16700</v>
      </c>
      <c r="P41" s="19"/>
      <c r="Q41" s="24">
        <f t="shared" si="36"/>
        <v>0.008323495363176699</v>
      </c>
      <c r="R41" s="25">
        <f t="shared" si="37"/>
        <v>120.19999999999999</v>
      </c>
      <c r="S41" s="26">
        <f t="shared" si="38"/>
        <v>39</v>
      </c>
      <c r="T41" s="17">
        <v>21</v>
      </c>
      <c r="U41" s="24">
        <f t="shared" si="39"/>
        <v>0.005628017687477863</v>
      </c>
      <c r="V41" s="25">
        <f t="shared" si="40"/>
        <v>177.7</v>
      </c>
      <c r="W41" s="26">
        <f t="shared" si="41"/>
        <v>39</v>
      </c>
      <c r="X41" s="19"/>
      <c r="Y41" s="20" t="s">
        <v>65</v>
      </c>
      <c r="Z41" s="17"/>
      <c r="AA41" s="19">
        <f t="shared" si="42"/>
        <v>16700</v>
      </c>
      <c r="AB41" s="19">
        <f t="shared" si="43"/>
        <v>2006368.6313662308</v>
      </c>
      <c r="AC41" s="26"/>
      <c r="AD41" s="19">
        <f t="shared" si="44"/>
      </c>
      <c r="AE41" s="19">
        <f t="shared" si="45"/>
      </c>
      <c r="AF41" s="19">
        <f t="shared" si="46"/>
      </c>
      <c r="AG41" s="19"/>
      <c r="AH41" s="19">
        <f t="shared" si="47"/>
      </c>
      <c r="AI41" s="26"/>
      <c r="AJ41" s="19">
        <f t="shared" si="48"/>
        <v>2006368.6313662308</v>
      </c>
      <c r="AK41" s="26">
        <f t="shared" si="49"/>
        <v>32</v>
      </c>
      <c r="AL41" s="26"/>
      <c r="AM41" s="19"/>
      <c r="AN41" s="19"/>
      <c r="AO41" s="19"/>
      <c r="AP41" s="19">
        <f t="shared" si="50"/>
      </c>
      <c r="AQ41" s="29"/>
      <c r="AR41" s="134"/>
      <c r="AS41" s="19">
        <v>16700</v>
      </c>
      <c r="AT41" s="21">
        <v>38047</v>
      </c>
      <c r="AU41" s="19">
        <v>32569</v>
      </c>
      <c r="AV41" s="26"/>
      <c r="AW41" s="19">
        <v>2967297</v>
      </c>
      <c r="AX41" s="19"/>
      <c r="AY41" s="19">
        <f t="shared" si="51"/>
      </c>
      <c r="AZ41" s="19">
        <f t="shared" si="52"/>
        <v>2006368.6313662308</v>
      </c>
      <c r="BA41" s="19" t="s">
        <v>104</v>
      </c>
      <c r="BB41" s="30">
        <v>2844658</v>
      </c>
      <c r="BC41" s="19">
        <v>1923445</v>
      </c>
      <c r="BD41" s="31"/>
      <c r="BE41" s="19"/>
      <c r="BF41" s="19">
        <f t="shared" si="53"/>
        <v>2006368.6313662308</v>
      </c>
      <c r="BG41" s="19"/>
      <c r="BH41" s="19">
        <f t="shared" si="54"/>
        <v>2967297</v>
      </c>
      <c r="BI41" s="26">
        <f t="shared" si="55"/>
        <v>31</v>
      </c>
    </row>
    <row r="42" spans="1:61" s="65" customFormat="1" ht="12.75">
      <c r="A42" s="17">
        <f t="shared" si="28"/>
        <v>2</v>
      </c>
      <c r="B42" s="18" t="s">
        <v>53</v>
      </c>
      <c r="C42" s="17" t="s">
        <v>30</v>
      </c>
      <c r="D42" s="17" t="s">
        <v>71</v>
      </c>
      <c r="E42" s="18">
        <f t="shared" si="29"/>
      </c>
      <c r="F42" s="17" t="s">
        <v>71</v>
      </c>
      <c r="G42" s="19">
        <f t="shared" si="30"/>
        <v>3767</v>
      </c>
      <c r="H42" s="20" t="str">
        <f t="shared" si="31"/>
        <v>Official</v>
      </c>
      <c r="I42" s="20" t="str">
        <f t="shared" si="32"/>
        <v>Link</v>
      </c>
      <c r="J42" s="126">
        <f t="shared" si="33"/>
        <v>38698</v>
      </c>
      <c r="K42" s="22"/>
      <c r="L42" s="23"/>
      <c r="M42" s="19">
        <f t="shared" si="34"/>
      </c>
      <c r="N42" s="19"/>
      <c r="O42" s="19">
        <f t="shared" si="35"/>
        <v>3767</v>
      </c>
      <c r="P42" s="19"/>
      <c r="Q42" s="24">
        <f t="shared" si="36"/>
        <v>0.0027108620999014158</v>
      </c>
      <c r="R42" s="25">
        <f t="shared" si="37"/>
        <v>368.90000000000003</v>
      </c>
      <c r="S42" s="26">
        <f t="shared" si="38"/>
        <v>40</v>
      </c>
      <c r="T42" s="17">
        <v>21</v>
      </c>
      <c r="U42" s="24">
        <f t="shared" si="39"/>
        <v>0.0018293698605123692</v>
      </c>
      <c r="V42" s="25">
        <f t="shared" si="40"/>
        <v>546.7</v>
      </c>
      <c r="W42" s="26">
        <f t="shared" si="41"/>
        <v>40</v>
      </c>
      <c r="X42" s="19"/>
      <c r="Y42" s="20" t="s">
        <v>65</v>
      </c>
      <c r="Z42" s="17"/>
      <c r="AA42" s="19">
        <f t="shared" si="42"/>
        <v>3767</v>
      </c>
      <c r="AB42" s="19">
        <f t="shared" si="43"/>
        <v>1389594.845173789</v>
      </c>
      <c r="AC42" s="26"/>
      <c r="AD42" s="19">
        <f t="shared" si="44"/>
      </c>
      <c r="AE42" s="19">
        <f t="shared" si="45"/>
      </c>
      <c r="AF42" s="19">
        <f t="shared" si="46"/>
      </c>
      <c r="AG42" s="19"/>
      <c r="AH42" s="19">
        <f t="shared" si="47"/>
      </c>
      <c r="AI42" s="26"/>
      <c r="AJ42" s="19">
        <f t="shared" si="48"/>
        <v>1389594.845173789</v>
      </c>
      <c r="AK42" s="26">
        <f t="shared" si="49"/>
        <v>36</v>
      </c>
      <c r="AL42" s="26"/>
      <c r="AM42" s="1">
        <v>3767</v>
      </c>
      <c r="AN42" s="28"/>
      <c r="AO42" s="28"/>
      <c r="AP42" s="19">
        <f t="shared" si="50"/>
        <v>3767</v>
      </c>
      <c r="AQ42" s="29">
        <v>38698</v>
      </c>
      <c r="AR42" s="134" t="s">
        <v>142</v>
      </c>
      <c r="AS42" s="19">
        <v>105</v>
      </c>
      <c r="AT42" s="21">
        <v>38047</v>
      </c>
      <c r="AU42" s="19"/>
      <c r="AV42" s="26"/>
      <c r="AW42" s="19">
        <v>2059179</v>
      </c>
      <c r="AX42" s="19"/>
      <c r="AY42" s="19">
        <f t="shared" si="51"/>
      </c>
      <c r="AZ42" s="19">
        <f t="shared" si="52"/>
        <v>1389594.845173789</v>
      </c>
      <c r="BA42" s="19" t="s">
        <v>104</v>
      </c>
      <c r="BB42" s="30">
        <v>1819046</v>
      </c>
      <c r="BC42" s="19">
        <v>1227546</v>
      </c>
      <c r="BD42" s="31"/>
      <c r="BE42" s="19"/>
      <c r="BF42" s="19">
        <f t="shared" si="53"/>
        <v>1389594.845173789</v>
      </c>
      <c r="BG42" s="19"/>
      <c r="BH42" s="19">
        <f t="shared" si="54"/>
        <v>2059179</v>
      </c>
      <c r="BI42" s="26">
        <f t="shared" si="55"/>
        <v>36</v>
      </c>
    </row>
    <row r="43" spans="1:61" s="65" customFormat="1" ht="12.75">
      <c r="A43" s="54">
        <f t="shared" si="28"/>
        <v>3</v>
      </c>
      <c r="B43" s="55" t="s">
        <v>55</v>
      </c>
      <c r="C43" s="54" t="s">
        <v>7</v>
      </c>
      <c r="D43" s="54" t="s">
        <v>71</v>
      </c>
      <c r="E43" s="18" t="str">
        <f t="shared" si="29"/>
        <v>Y</v>
      </c>
      <c r="F43" s="54"/>
      <c r="G43" s="56">
        <f t="shared" si="30"/>
        <v>1100</v>
      </c>
      <c r="H43" s="20" t="str">
        <f t="shared" si="31"/>
        <v>CCRKBA</v>
      </c>
      <c r="I43" s="20">
        <f t="shared" si="32"/>
      </c>
      <c r="J43" s="131">
        <f t="shared" si="33"/>
        <v>36151</v>
      </c>
      <c r="K43" s="58"/>
      <c r="L43" s="59"/>
      <c r="M43" s="56">
        <f t="shared" si="34"/>
      </c>
      <c r="N43" s="56"/>
      <c r="O43" s="56">
        <f t="shared" si="35"/>
        <v>1100</v>
      </c>
      <c r="P43" s="56"/>
      <c r="Q43" s="60">
        <f t="shared" si="36"/>
        <v>0.0015892072600766575</v>
      </c>
      <c r="R43" s="61">
        <f t="shared" si="37"/>
        <v>629.3000000000001</v>
      </c>
      <c r="S43" s="62">
        <f t="shared" si="38"/>
        <v>41</v>
      </c>
      <c r="T43" s="54">
        <v>18</v>
      </c>
      <c r="U43" s="24">
        <f t="shared" si="39"/>
        <v>0.0012250343566453659</v>
      </c>
      <c r="V43" s="61">
        <f t="shared" si="40"/>
        <v>816.4</v>
      </c>
      <c r="W43" s="62">
        <f t="shared" si="41"/>
        <v>41</v>
      </c>
      <c r="X43" s="56"/>
      <c r="Y43" s="63"/>
      <c r="Z43" s="54"/>
      <c r="AA43" s="56">
        <f t="shared" si="42"/>
      </c>
      <c r="AB43" s="56">
        <f t="shared" si="43"/>
      </c>
      <c r="AC43" s="62"/>
      <c r="AD43" s="56">
        <f t="shared" si="44"/>
      </c>
      <c r="AE43" s="56">
        <f t="shared" si="45"/>
      </c>
      <c r="AF43" s="56">
        <f t="shared" si="46"/>
      </c>
      <c r="AG43" s="56"/>
      <c r="AH43" s="56">
        <f t="shared" si="47"/>
      </c>
      <c r="AI43" s="62"/>
      <c r="AJ43" s="56">
        <f t="shared" si="48"/>
        <v>692169</v>
      </c>
      <c r="AK43" s="62">
        <f t="shared" si="49"/>
        <v>45</v>
      </c>
      <c r="AL43" s="62"/>
      <c r="AM43" s="56"/>
      <c r="AN43" s="56"/>
      <c r="AO43" s="56"/>
      <c r="AP43" s="19">
        <f t="shared" si="50"/>
      </c>
      <c r="AQ43" s="64"/>
      <c r="AR43" s="136"/>
      <c r="AS43" s="56"/>
      <c r="AT43" s="57"/>
      <c r="AU43" s="56">
        <v>1100</v>
      </c>
      <c r="AV43" s="62"/>
      <c r="AW43" s="56">
        <v>897934</v>
      </c>
      <c r="AX43" s="56">
        <v>205765</v>
      </c>
      <c r="AY43" s="19">
        <f t="shared" si="51"/>
        <v>692169</v>
      </c>
      <c r="AZ43" s="19">
        <f t="shared" si="52"/>
        <v>650090</v>
      </c>
      <c r="BA43" s="19">
        <v>650090</v>
      </c>
      <c r="BB43" s="30">
        <v>783600</v>
      </c>
      <c r="BC43" s="56">
        <v>553669</v>
      </c>
      <c r="BD43" s="31"/>
      <c r="BE43" s="56"/>
      <c r="BF43" s="56">
        <f t="shared" si="53"/>
        <v>692169</v>
      </c>
      <c r="BG43" s="56"/>
      <c r="BH43" s="19">
        <f t="shared" si="54"/>
        <v>897934</v>
      </c>
      <c r="BI43" s="62">
        <f t="shared" si="55"/>
        <v>45</v>
      </c>
    </row>
    <row r="44" spans="1:61" s="65" customFormat="1" ht="12.75">
      <c r="A44" s="54">
        <f t="shared" si="28"/>
        <v>3</v>
      </c>
      <c r="B44" s="55" t="s">
        <v>55</v>
      </c>
      <c r="C44" s="54" t="s">
        <v>4</v>
      </c>
      <c r="D44" s="54" t="s">
        <v>71</v>
      </c>
      <c r="E44" s="18" t="str">
        <f t="shared" si="29"/>
        <v>Y</v>
      </c>
      <c r="F44" s="54"/>
      <c r="G44" s="56">
        <f t="shared" si="30"/>
        <v>40296</v>
      </c>
      <c r="H44" s="20" t="str">
        <f t="shared" si="31"/>
        <v>Official</v>
      </c>
      <c r="I44" s="20" t="str">
        <f t="shared" si="32"/>
        <v>Link</v>
      </c>
      <c r="J44" s="131">
        <f t="shared" si="33"/>
        <v>39447</v>
      </c>
      <c r="K44" s="66"/>
      <c r="L44" s="59"/>
      <c r="M44" s="56">
        <f t="shared" si="34"/>
      </c>
      <c r="N44" s="56"/>
      <c r="O44" s="56">
        <f t="shared" si="35"/>
        <v>40296</v>
      </c>
      <c r="P44" s="56"/>
      <c r="Q44" s="60">
        <f t="shared" si="36"/>
        <v>0.0015363574085246637</v>
      </c>
      <c r="R44" s="61">
        <f t="shared" si="37"/>
        <v>650.9</v>
      </c>
      <c r="S44" s="62">
        <f t="shared" si="38"/>
        <v>42</v>
      </c>
      <c r="T44" s="54">
        <v>21</v>
      </c>
      <c r="U44" s="24">
        <f t="shared" si="39"/>
        <v>0.0010816569386617625</v>
      </c>
      <c r="V44" s="61">
        <f t="shared" si="40"/>
        <v>924.6</v>
      </c>
      <c r="W44" s="62">
        <f t="shared" si="41"/>
        <v>42</v>
      </c>
      <c r="X44" s="56"/>
      <c r="Y44" s="63"/>
      <c r="Z44" s="54"/>
      <c r="AA44" s="56">
        <f t="shared" si="42"/>
      </c>
      <c r="AB44" s="56">
        <f t="shared" si="43"/>
      </c>
      <c r="AC44" s="62"/>
      <c r="AD44" s="56">
        <f t="shared" si="44"/>
      </c>
      <c r="AE44" s="56">
        <f t="shared" si="45"/>
      </c>
      <c r="AF44" s="56">
        <f t="shared" si="46"/>
      </c>
      <c r="AG44" s="56"/>
      <c r="AH44" s="56">
        <f t="shared" si="47"/>
      </c>
      <c r="AI44" s="62"/>
      <c r="AJ44" s="56">
        <f t="shared" si="48"/>
        <v>26228272</v>
      </c>
      <c r="AK44" s="62">
        <f t="shared" si="49"/>
        <v>1</v>
      </c>
      <c r="AL44" s="62"/>
      <c r="AM44" s="1">
        <v>40296</v>
      </c>
      <c r="AN44" s="56"/>
      <c r="AO44" s="56"/>
      <c r="AP44" s="19">
        <f t="shared" si="50"/>
        <v>40296</v>
      </c>
      <c r="AQ44" s="64">
        <v>39447</v>
      </c>
      <c r="AR44" s="136" t="s">
        <v>143</v>
      </c>
      <c r="AS44" s="56"/>
      <c r="AT44" s="57"/>
      <c r="AU44" s="56">
        <v>40000</v>
      </c>
      <c r="AV44" s="62"/>
      <c r="AW44" s="56">
        <v>37253956</v>
      </c>
      <c r="AX44" s="56"/>
      <c r="AY44" s="19">
        <f t="shared" si="51"/>
      </c>
      <c r="AZ44" s="19">
        <f t="shared" si="52"/>
        <v>26228272</v>
      </c>
      <c r="BA44" s="19">
        <v>26228272</v>
      </c>
      <c r="BB44" s="30">
        <v>33871648</v>
      </c>
      <c r="BC44" s="56">
        <v>23146248</v>
      </c>
      <c r="BD44" s="31"/>
      <c r="BE44" s="56"/>
      <c r="BF44" s="56">
        <f t="shared" si="53"/>
        <v>26228272</v>
      </c>
      <c r="BG44" s="56"/>
      <c r="BH44" s="19">
        <f t="shared" si="54"/>
        <v>37253956</v>
      </c>
      <c r="BI44" s="62">
        <f t="shared" si="55"/>
        <v>1</v>
      </c>
    </row>
    <row r="45" spans="1:61" s="34" customFormat="1" ht="12.75">
      <c r="A45" s="54">
        <f t="shared" si="28"/>
        <v>3</v>
      </c>
      <c r="B45" s="55" t="s">
        <v>55</v>
      </c>
      <c r="C45" s="54" t="s">
        <v>19</v>
      </c>
      <c r="D45" s="54" t="s">
        <v>71</v>
      </c>
      <c r="E45" s="18" t="str">
        <f t="shared" si="29"/>
        <v>Y</v>
      </c>
      <c r="F45" s="54"/>
      <c r="G45" s="56">
        <f t="shared" si="30"/>
        <v>661</v>
      </c>
      <c r="H45" s="20" t="str">
        <f t="shared" si="31"/>
        <v>Official</v>
      </c>
      <c r="I45" s="20" t="str">
        <f t="shared" si="32"/>
        <v>Email</v>
      </c>
      <c r="J45" s="131">
        <f t="shared" si="33"/>
        <v>38802</v>
      </c>
      <c r="K45" s="58"/>
      <c r="L45" s="59"/>
      <c r="M45" s="56">
        <f t="shared" si="34"/>
      </c>
      <c r="N45" s="56"/>
      <c r="O45" s="56">
        <f t="shared" si="35"/>
        <v>661</v>
      </c>
      <c r="P45" s="56"/>
      <c r="Q45" s="60">
        <f t="shared" si="36"/>
        <v>0.00014952761940266769</v>
      </c>
      <c r="R45" s="61">
        <f t="shared" si="37"/>
        <v>6687.8</v>
      </c>
      <c r="S45" s="62">
        <f t="shared" si="38"/>
        <v>43</v>
      </c>
      <c r="T45" s="54">
        <v>18</v>
      </c>
      <c r="U45" s="24">
        <f t="shared" si="39"/>
        <v>0.00011448758060895615</v>
      </c>
      <c r="V45" s="61">
        <f t="shared" si="40"/>
        <v>8734.6</v>
      </c>
      <c r="W45" s="62">
        <f t="shared" si="41"/>
        <v>43</v>
      </c>
      <c r="X45" s="56"/>
      <c r="Y45" s="63"/>
      <c r="Z45" s="54"/>
      <c r="AA45" s="56">
        <f t="shared" si="42"/>
      </c>
      <c r="AB45" s="56">
        <f t="shared" si="43"/>
      </c>
      <c r="AC45" s="62"/>
      <c r="AD45" s="56">
        <f t="shared" si="44"/>
      </c>
      <c r="AE45" s="56">
        <f t="shared" si="45"/>
      </c>
      <c r="AF45" s="56">
        <f t="shared" si="46"/>
      </c>
      <c r="AG45" s="56"/>
      <c r="AH45" s="56">
        <f t="shared" si="47"/>
      </c>
      <c r="AI45" s="62"/>
      <c r="AJ45" s="56">
        <f t="shared" si="48"/>
        <v>4420588</v>
      </c>
      <c r="AK45" s="62">
        <f t="shared" si="49"/>
        <v>18</v>
      </c>
      <c r="AL45" s="62"/>
      <c r="AM45" s="56"/>
      <c r="AN45" s="56">
        <v>661</v>
      </c>
      <c r="AO45" s="56"/>
      <c r="AP45" s="19">
        <f t="shared" si="50"/>
        <v>661</v>
      </c>
      <c r="AQ45" s="64">
        <v>38802</v>
      </c>
      <c r="AR45" s="136" t="s">
        <v>145</v>
      </c>
      <c r="AS45" s="56"/>
      <c r="AT45" s="57"/>
      <c r="AU45" s="56">
        <v>32569</v>
      </c>
      <c r="AV45" s="62"/>
      <c r="AW45" s="56">
        <v>5773552</v>
      </c>
      <c r="AX45" s="56">
        <v>1352964</v>
      </c>
      <c r="AY45" s="19">
        <f t="shared" si="51"/>
        <v>4420588</v>
      </c>
      <c r="AZ45" s="19">
        <f t="shared" si="52"/>
        <v>4073496.1513275024</v>
      </c>
      <c r="BA45" s="19" t="s">
        <v>104</v>
      </c>
      <c r="BB45" s="30">
        <v>5296486</v>
      </c>
      <c r="BC45" s="56">
        <v>3736905</v>
      </c>
      <c r="BD45" s="31"/>
      <c r="BE45" s="56"/>
      <c r="BF45" s="56">
        <f t="shared" si="53"/>
        <v>4420588</v>
      </c>
      <c r="BG45" s="56"/>
      <c r="BH45" s="19">
        <f t="shared" si="54"/>
        <v>5773552</v>
      </c>
      <c r="BI45" s="62">
        <f t="shared" si="55"/>
        <v>19</v>
      </c>
    </row>
    <row r="46" spans="1:61" s="65" customFormat="1" ht="12.75">
      <c r="A46" s="67">
        <f t="shared" si="28"/>
        <v>2</v>
      </c>
      <c r="B46" s="68" t="s">
        <v>53</v>
      </c>
      <c r="C46" s="67" t="s">
        <v>48</v>
      </c>
      <c r="D46" s="67" t="s">
        <v>73</v>
      </c>
      <c r="E46" s="18">
        <f t="shared" si="29"/>
      </c>
      <c r="F46" s="67"/>
      <c r="G46" s="69">
        <f t="shared" si="30"/>
      </c>
      <c r="H46" s="20">
        <f t="shared" si="31"/>
      </c>
      <c r="I46" s="20">
        <f t="shared" si="32"/>
      </c>
      <c r="J46" s="132">
        <f t="shared" si="33"/>
      </c>
      <c r="K46" s="71"/>
      <c r="L46" s="72"/>
      <c r="M46" s="69">
        <f t="shared" si="34"/>
      </c>
      <c r="N46" s="69"/>
      <c r="O46" s="69">
        <f t="shared" si="35"/>
      </c>
      <c r="P46" s="69"/>
      <c r="Q46" s="72">
        <f t="shared" si="36"/>
      </c>
      <c r="R46" s="73">
        <f t="shared" si="37"/>
      </c>
      <c r="S46" s="74">
        <f t="shared" si="38"/>
      </c>
      <c r="T46" s="67">
        <v>21</v>
      </c>
      <c r="U46" s="24">
        <f t="shared" si="39"/>
      </c>
      <c r="V46" s="73">
        <f t="shared" si="40"/>
      </c>
      <c r="W46" s="74">
        <f t="shared" si="41"/>
      </c>
      <c r="X46" s="69"/>
      <c r="Y46" s="75" t="s">
        <v>65</v>
      </c>
      <c r="Z46" s="67"/>
      <c r="AA46" s="69">
        <f t="shared" si="42"/>
      </c>
      <c r="AB46" s="69">
        <f t="shared" si="43"/>
      </c>
      <c r="AC46" s="74"/>
      <c r="AD46" s="69">
        <f t="shared" si="44"/>
      </c>
      <c r="AE46" s="69">
        <f t="shared" si="45"/>
      </c>
      <c r="AF46" s="69">
        <f t="shared" si="46"/>
      </c>
      <c r="AG46" s="69"/>
      <c r="AH46" s="69">
        <f t="shared" si="47"/>
      </c>
      <c r="AI46" s="74"/>
      <c r="AJ46" s="69">
        <f t="shared" si="48"/>
        <v>4104027</v>
      </c>
      <c r="AK46" s="74">
        <f t="shared" si="49"/>
        <v>20</v>
      </c>
      <c r="AL46" s="74"/>
      <c r="AM46" s="69"/>
      <c r="AN46" s="69"/>
      <c r="AO46" s="69"/>
      <c r="AP46" s="19">
        <f t="shared" si="50"/>
      </c>
      <c r="AQ46" s="76"/>
      <c r="AR46" s="137"/>
      <c r="AS46" s="69"/>
      <c r="AT46" s="70"/>
      <c r="AU46" s="69"/>
      <c r="AV46" s="74"/>
      <c r="AW46" s="69">
        <v>5686986</v>
      </c>
      <c r="AX46" s="69"/>
      <c r="AY46" s="19">
        <f t="shared" si="51"/>
      </c>
      <c r="AZ46" s="19">
        <f t="shared" si="52"/>
        <v>4104027</v>
      </c>
      <c r="BA46" s="19">
        <v>4104027</v>
      </c>
      <c r="BB46" s="30">
        <v>5363675</v>
      </c>
      <c r="BC46" s="69">
        <v>3751033</v>
      </c>
      <c r="BD46" s="31"/>
      <c r="BE46" s="69"/>
      <c r="BF46" s="69">
        <f t="shared" si="53"/>
        <v>4104027</v>
      </c>
      <c r="BG46" s="69"/>
      <c r="BH46" s="19">
        <f t="shared" si="54"/>
        <v>5686986</v>
      </c>
      <c r="BI46" s="74">
        <f t="shared" si="55"/>
        <v>20</v>
      </c>
    </row>
    <row r="47" spans="1:61" s="65" customFormat="1" ht="12.75">
      <c r="A47" s="54">
        <f t="shared" si="28"/>
        <v>3</v>
      </c>
      <c r="B47" s="55" t="s">
        <v>55</v>
      </c>
      <c r="C47" s="54" t="s">
        <v>10</v>
      </c>
      <c r="D47" s="54" t="s">
        <v>73</v>
      </c>
      <c r="E47" s="18">
        <f t="shared" si="29"/>
      </c>
      <c r="F47" s="54"/>
      <c r="G47" s="56">
        <f t="shared" si="30"/>
      </c>
      <c r="H47" s="20">
        <f t="shared" si="31"/>
      </c>
      <c r="I47" s="20">
        <f t="shared" si="32"/>
      </c>
      <c r="J47" s="131">
        <f t="shared" si="33"/>
      </c>
      <c r="K47" s="58"/>
      <c r="L47" s="59"/>
      <c r="M47" s="56">
        <f t="shared" si="34"/>
      </c>
      <c r="N47" s="56"/>
      <c r="O47" s="56">
        <f t="shared" si="35"/>
      </c>
      <c r="P47" s="56"/>
      <c r="Q47" s="59">
        <f t="shared" si="36"/>
      </c>
      <c r="R47" s="61">
        <f t="shared" si="37"/>
      </c>
      <c r="S47" s="62">
        <f t="shared" si="38"/>
      </c>
      <c r="T47" s="54">
        <v>21</v>
      </c>
      <c r="U47" s="24">
        <f t="shared" si="39"/>
      </c>
      <c r="V47" s="61">
        <f t="shared" si="40"/>
      </c>
      <c r="W47" s="62">
        <f t="shared" si="41"/>
      </c>
      <c r="X47" s="56"/>
      <c r="Y47" s="63"/>
      <c r="Z47" s="54"/>
      <c r="AA47" s="56">
        <f t="shared" si="42"/>
      </c>
      <c r="AB47" s="56">
        <f t="shared" si="43"/>
      </c>
      <c r="AC47" s="62"/>
      <c r="AD47" s="56">
        <f t="shared" si="44"/>
      </c>
      <c r="AE47" s="56">
        <f t="shared" si="45"/>
      </c>
      <c r="AF47" s="56">
        <f t="shared" si="46"/>
      </c>
      <c r="AG47" s="56"/>
      <c r="AH47" s="56">
        <f t="shared" si="47"/>
      </c>
      <c r="AI47" s="62"/>
      <c r="AJ47" s="56">
        <f t="shared" si="48"/>
        <v>1003512</v>
      </c>
      <c r="AK47" s="62">
        <f t="shared" si="49"/>
        <v>42</v>
      </c>
      <c r="AL47" s="62"/>
      <c r="AM47" s="56"/>
      <c r="AN47" s="56"/>
      <c r="AO47" s="56"/>
      <c r="AP47" s="19">
        <f t="shared" si="50"/>
      </c>
      <c r="AQ47" s="64"/>
      <c r="AR47" s="136"/>
      <c r="AS47" s="56"/>
      <c r="AT47" s="57"/>
      <c r="AU47" s="56">
        <v>1</v>
      </c>
      <c r="AV47" s="62"/>
      <c r="AW47" s="56">
        <v>1360301</v>
      </c>
      <c r="AX47" s="56"/>
      <c r="AY47" s="19">
        <f t="shared" si="51"/>
      </c>
      <c r="AZ47" s="19">
        <f t="shared" si="52"/>
        <v>1003512</v>
      </c>
      <c r="BA47" s="19">
        <v>1003512</v>
      </c>
      <c r="BB47" s="30">
        <v>1211537</v>
      </c>
      <c r="BC47" s="56">
        <v>867329</v>
      </c>
      <c r="BD47" s="31"/>
      <c r="BE47" s="56"/>
      <c r="BF47" s="56">
        <f t="shared" si="53"/>
        <v>1003512</v>
      </c>
      <c r="BG47" s="56"/>
      <c r="BH47" s="19">
        <f t="shared" si="54"/>
        <v>1360301</v>
      </c>
      <c r="BI47" s="62">
        <f t="shared" si="55"/>
        <v>40</v>
      </c>
    </row>
    <row r="48" spans="1:61" s="65" customFormat="1" ht="12.75">
      <c r="A48" s="54">
        <f t="shared" si="28"/>
        <v>3</v>
      </c>
      <c r="B48" s="55" t="s">
        <v>55</v>
      </c>
      <c r="C48" s="54" t="s">
        <v>20</v>
      </c>
      <c r="D48" s="54" t="s">
        <v>73</v>
      </c>
      <c r="E48" s="18">
        <f t="shared" si="29"/>
      </c>
      <c r="F48" s="54"/>
      <c r="G48" s="56">
        <f t="shared" si="30"/>
      </c>
      <c r="H48" s="20">
        <f t="shared" si="31"/>
      </c>
      <c r="I48" s="20">
        <f t="shared" si="32"/>
      </c>
      <c r="J48" s="131">
        <f t="shared" si="33"/>
      </c>
      <c r="K48" s="58"/>
      <c r="L48" s="59"/>
      <c r="M48" s="56">
        <f t="shared" si="34"/>
      </c>
      <c r="N48" s="56"/>
      <c r="O48" s="56">
        <f t="shared" si="35"/>
      </c>
      <c r="P48" s="56"/>
      <c r="Q48" s="59">
        <f t="shared" si="36"/>
      </c>
      <c r="R48" s="61">
        <f t="shared" si="37"/>
      </c>
      <c r="S48" s="62">
        <f t="shared" si="38"/>
      </c>
      <c r="T48" s="54">
        <v>21</v>
      </c>
      <c r="U48" s="24">
        <f t="shared" si="39"/>
      </c>
      <c r="V48" s="61">
        <f t="shared" si="40"/>
      </c>
      <c r="W48" s="62">
        <f t="shared" si="41"/>
      </c>
      <c r="X48" s="56"/>
      <c r="Y48" s="63"/>
      <c r="Z48" s="54"/>
      <c r="AA48" s="56">
        <f t="shared" si="42"/>
      </c>
      <c r="AB48" s="56">
        <f t="shared" si="43"/>
      </c>
      <c r="AC48" s="62"/>
      <c r="AD48" s="56">
        <f t="shared" si="44"/>
      </c>
      <c r="AE48" s="56">
        <f t="shared" si="45"/>
      </c>
      <c r="AF48" s="56">
        <f t="shared" si="46"/>
      </c>
      <c r="AG48" s="56"/>
      <c r="AH48" s="56">
        <f t="shared" si="47"/>
      </c>
      <c r="AI48" s="62"/>
      <c r="AJ48" s="56">
        <f t="shared" si="48"/>
        <v>4731396.646816862</v>
      </c>
      <c r="AK48" s="62">
        <f t="shared" si="49"/>
        <v>15</v>
      </c>
      <c r="AL48" s="62"/>
      <c r="AM48" s="56"/>
      <c r="AN48" s="56"/>
      <c r="AO48" s="56"/>
      <c r="AP48" s="19">
        <f t="shared" si="50"/>
      </c>
      <c r="AQ48" s="64"/>
      <c r="AR48" s="136"/>
      <c r="AS48" s="56"/>
      <c r="AT48" s="57"/>
      <c r="AU48" s="56">
        <v>175000</v>
      </c>
      <c r="AV48" s="62"/>
      <c r="AW48" s="56">
        <v>6547629</v>
      </c>
      <c r="AX48" s="56"/>
      <c r="AY48" s="19">
        <f t="shared" si="51"/>
      </c>
      <c r="AZ48" s="19">
        <f t="shared" si="52"/>
        <v>4731396.646816862</v>
      </c>
      <c r="BA48" s="19" t="s">
        <v>104</v>
      </c>
      <c r="BB48" s="30">
        <v>6349097</v>
      </c>
      <c r="BC48" s="56">
        <v>4587935</v>
      </c>
      <c r="BD48" s="31"/>
      <c r="BE48" s="56"/>
      <c r="BF48" s="56">
        <f t="shared" si="53"/>
        <v>4731396.646816862</v>
      </c>
      <c r="BG48" s="56"/>
      <c r="BH48" s="19">
        <f t="shared" si="54"/>
        <v>6547629</v>
      </c>
      <c r="BI48" s="62">
        <f t="shared" si="55"/>
        <v>14</v>
      </c>
    </row>
    <row r="49" spans="1:61" s="65" customFormat="1" ht="12.75">
      <c r="A49" s="54">
        <f t="shared" si="28"/>
        <v>3</v>
      </c>
      <c r="B49" s="55" t="s">
        <v>55</v>
      </c>
      <c r="C49" s="54" t="s">
        <v>29</v>
      </c>
      <c r="D49" s="54" t="s">
        <v>73</v>
      </c>
      <c r="E49" s="18">
        <f t="shared" si="29"/>
      </c>
      <c r="F49" s="54"/>
      <c r="G49" s="56">
        <f t="shared" si="30"/>
      </c>
      <c r="H49" s="20">
        <f t="shared" si="31"/>
      </c>
      <c r="I49" s="20">
        <f t="shared" si="32"/>
      </c>
      <c r="J49" s="131">
        <f t="shared" si="33"/>
      </c>
      <c r="K49" s="58"/>
      <c r="L49" s="59"/>
      <c r="M49" s="56">
        <f t="shared" si="34"/>
      </c>
      <c r="N49" s="56"/>
      <c r="O49" s="56">
        <f t="shared" si="35"/>
      </c>
      <c r="P49" s="56"/>
      <c r="Q49" s="59">
        <f t="shared" si="36"/>
      </c>
      <c r="R49" s="61">
        <f t="shared" si="37"/>
      </c>
      <c r="S49" s="62">
        <f t="shared" si="38"/>
      </c>
      <c r="T49" s="54">
        <v>21</v>
      </c>
      <c r="U49" s="24">
        <f t="shared" si="39"/>
      </c>
      <c r="V49" s="61">
        <f t="shared" si="40"/>
      </c>
      <c r="W49" s="62">
        <f t="shared" si="41"/>
      </c>
      <c r="X49" s="56"/>
      <c r="Y49" s="63"/>
      <c r="Z49" s="54"/>
      <c r="AA49" s="56">
        <f t="shared" si="42"/>
      </c>
      <c r="AB49" s="56">
        <f t="shared" si="43"/>
      </c>
      <c r="AC49" s="62"/>
      <c r="AD49" s="56">
        <f t="shared" si="44"/>
      </c>
      <c r="AE49" s="56">
        <f t="shared" si="45"/>
      </c>
      <c r="AF49" s="56">
        <f t="shared" si="46"/>
      </c>
      <c r="AG49" s="56"/>
      <c r="AH49" s="56">
        <f t="shared" si="47"/>
      </c>
      <c r="AI49" s="62"/>
      <c r="AJ49" s="56">
        <f t="shared" si="48"/>
        <v>6304189.279963633</v>
      </c>
      <c r="AK49" s="62">
        <f t="shared" si="49"/>
        <v>11</v>
      </c>
      <c r="AL49" s="62"/>
      <c r="AM49" s="56"/>
      <c r="AN49" s="56"/>
      <c r="AO49" s="56"/>
      <c r="AP49" s="19">
        <f t="shared" si="50"/>
      </c>
      <c r="AQ49" s="64"/>
      <c r="AR49" s="136"/>
      <c r="AS49" s="56"/>
      <c r="AT49" s="57"/>
      <c r="AU49" s="56">
        <v>4300</v>
      </c>
      <c r="AV49" s="62"/>
      <c r="AW49" s="56">
        <v>8791894</v>
      </c>
      <c r="AX49" s="56"/>
      <c r="AY49" s="19">
        <f t="shared" si="51"/>
      </c>
      <c r="AZ49" s="19">
        <f t="shared" si="52"/>
        <v>6304189.279963633</v>
      </c>
      <c r="BA49" s="19" t="s">
        <v>104</v>
      </c>
      <c r="BB49" s="30">
        <v>8414350</v>
      </c>
      <c r="BC49" s="56">
        <v>6033473</v>
      </c>
      <c r="BD49" s="31"/>
      <c r="BE49" s="56"/>
      <c r="BF49" s="56">
        <f t="shared" si="53"/>
        <v>6304189.279963633</v>
      </c>
      <c r="BG49" s="56"/>
      <c r="BH49" s="19">
        <f t="shared" si="54"/>
        <v>8791894</v>
      </c>
      <c r="BI49" s="62">
        <f t="shared" si="55"/>
        <v>11</v>
      </c>
    </row>
    <row r="50" spans="1:61" s="65" customFormat="1" ht="12.75">
      <c r="A50" s="54">
        <f t="shared" si="28"/>
        <v>3</v>
      </c>
      <c r="B50" s="55" t="s">
        <v>55</v>
      </c>
      <c r="C50" s="54" t="s">
        <v>31</v>
      </c>
      <c r="D50" s="54" t="s">
        <v>73</v>
      </c>
      <c r="E50" s="18">
        <f t="shared" si="29"/>
      </c>
      <c r="F50" s="54"/>
      <c r="G50" s="56">
        <f t="shared" si="30"/>
      </c>
      <c r="H50" s="20">
        <f t="shared" si="31"/>
      </c>
      <c r="I50" s="20">
        <f t="shared" si="32"/>
      </c>
      <c r="J50" s="131">
        <f t="shared" si="33"/>
      </c>
      <c r="K50" s="58"/>
      <c r="L50" s="59"/>
      <c r="M50" s="56">
        <f t="shared" si="34"/>
      </c>
      <c r="N50" s="56"/>
      <c r="O50" s="56">
        <f t="shared" si="35"/>
      </c>
      <c r="P50" s="56"/>
      <c r="Q50" s="59">
        <f t="shared" si="36"/>
      </c>
      <c r="R50" s="61">
        <f t="shared" si="37"/>
      </c>
      <c r="S50" s="62">
        <f t="shared" si="38"/>
      </c>
      <c r="T50" s="54">
        <v>21</v>
      </c>
      <c r="U50" s="24">
        <f t="shared" si="39"/>
      </c>
      <c r="V50" s="61">
        <f t="shared" si="40"/>
      </c>
      <c r="W50" s="62">
        <f t="shared" si="41"/>
      </c>
      <c r="X50" s="56"/>
      <c r="Y50" s="63"/>
      <c r="Z50" s="54"/>
      <c r="AA50" s="56">
        <f t="shared" si="42"/>
      </c>
      <c r="AB50" s="56">
        <f t="shared" si="43"/>
      </c>
      <c r="AC50" s="62"/>
      <c r="AD50" s="56">
        <f t="shared" si="44"/>
      </c>
      <c r="AE50" s="56">
        <f t="shared" si="45"/>
      </c>
      <c r="AF50" s="56">
        <f t="shared" si="46"/>
      </c>
      <c r="AG50" s="56"/>
      <c r="AH50" s="56">
        <f t="shared" si="47"/>
      </c>
      <c r="AI50" s="62"/>
      <c r="AJ50" s="56">
        <f t="shared" si="48"/>
        <v>14187508</v>
      </c>
      <c r="AK50" s="62">
        <f t="shared" si="49"/>
        <v>3</v>
      </c>
      <c r="AL50" s="62"/>
      <c r="AM50" s="56"/>
      <c r="AN50" s="56"/>
      <c r="AO50" s="56"/>
      <c r="AP50" s="19">
        <f t="shared" si="50"/>
      </c>
      <c r="AQ50" s="64"/>
      <c r="AR50" s="136"/>
      <c r="AS50" s="56"/>
      <c r="AT50" s="57"/>
      <c r="AU50" s="56">
        <v>530000</v>
      </c>
      <c r="AV50" s="62"/>
      <c r="AW50" s="56">
        <v>19378102</v>
      </c>
      <c r="AX50" s="56"/>
      <c r="AY50" s="19">
        <f t="shared" si="51"/>
      </c>
      <c r="AZ50" s="19">
        <f t="shared" si="52"/>
        <v>14187508</v>
      </c>
      <c r="BA50" s="19">
        <v>14187508</v>
      </c>
      <c r="BB50" s="30">
        <v>18976457</v>
      </c>
      <c r="BC50" s="56">
        <v>13505172</v>
      </c>
      <c r="BD50" s="31"/>
      <c r="BE50" s="56"/>
      <c r="BF50" s="56">
        <f t="shared" si="53"/>
        <v>14187508</v>
      </c>
      <c r="BG50" s="56"/>
      <c r="BH50" s="19">
        <f t="shared" si="54"/>
        <v>19378102</v>
      </c>
      <c r="BI50" s="62">
        <f t="shared" si="55"/>
        <v>3</v>
      </c>
    </row>
    <row r="51" spans="1:61" s="77" customFormat="1" ht="12.75">
      <c r="A51" s="54">
        <f t="shared" si="28"/>
        <v>3</v>
      </c>
      <c r="B51" s="55" t="s">
        <v>55</v>
      </c>
      <c r="C51" s="54" t="s">
        <v>38</v>
      </c>
      <c r="D51" s="54" t="s">
        <v>73</v>
      </c>
      <c r="E51" s="18">
        <f t="shared" si="29"/>
      </c>
      <c r="F51" s="54"/>
      <c r="G51" s="56">
        <f t="shared" si="30"/>
      </c>
      <c r="H51" s="20">
        <f t="shared" si="31"/>
      </c>
      <c r="I51" s="20">
        <f t="shared" si="32"/>
      </c>
      <c r="J51" s="131">
        <f t="shared" si="33"/>
      </c>
      <c r="K51" s="58"/>
      <c r="L51" s="59"/>
      <c r="M51" s="56">
        <f t="shared" si="34"/>
      </c>
      <c r="N51" s="56"/>
      <c r="O51" s="56">
        <f t="shared" si="35"/>
      </c>
      <c r="P51" s="56"/>
      <c r="Q51" s="59">
        <f t="shared" si="36"/>
      </c>
      <c r="R51" s="61">
        <f t="shared" si="37"/>
      </c>
      <c r="S51" s="62">
        <f t="shared" si="38"/>
      </c>
      <c r="T51" s="54">
        <v>21</v>
      </c>
      <c r="U51" s="24">
        <f t="shared" si="39"/>
      </c>
      <c r="V51" s="61">
        <f t="shared" si="40"/>
      </c>
      <c r="W51" s="62">
        <f t="shared" si="41"/>
      </c>
      <c r="X51" s="56"/>
      <c r="Y51" s="63"/>
      <c r="Z51" s="54"/>
      <c r="AA51" s="56">
        <f t="shared" si="42"/>
      </c>
      <c r="AB51" s="56">
        <f t="shared" si="43"/>
      </c>
      <c r="AC51" s="62"/>
      <c r="AD51" s="56">
        <f t="shared" si="44"/>
      </c>
      <c r="AE51" s="56">
        <f t="shared" si="45"/>
      </c>
      <c r="AF51" s="56">
        <f t="shared" si="46"/>
      </c>
      <c r="AG51" s="56"/>
      <c r="AH51" s="56">
        <f t="shared" si="47"/>
      </c>
      <c r="AI51" s="62"/>
      <c r="AJ51" s="56">
        <f t="shared" si="48"/>
        <v>751477.8500771235</v>
      </c>
      <c r="AK51" s="62">
        <f t="shared" si="49"/>
        <v>44</v>
      </c>
      <c r="AL51" s="62"/>
      <c r="AM51" s="56"/>
      <c r="AN51" s="56"/>
      <c r="AO51" s="56"/>
      <c r="AP51" s="19">
        <f t="shared" si="50"/>
      </c>
      <c r="AQ51" s="64"/>
      <c r="AR51" s="136"/>
      <c r="AS51" s="56"/>
      <c r="AT51" s="57"/>
      <c r="AU51" s="56">
        <v>4300</v>
      </c>
      <c r="AV51" s="62"/>
      <c r="AW51" s="56">
        <v>1052567</v>
      </c>
      <c r="AX51" s="56"/>
      <c r="AY51" s="19">
        <f t="shared" si="51"/>
      </c>
      <c r="AZ51" s="19">
        <f t="shared" si="52"/>
        <v>751477.8500771235</v>
      </c>
      <c r="BA51" s="19" t="s">
        <v>104</v>
      </c>
      <c r="BB51" s="30">
        <v>1048319</v>
      </c>
      <c r="BC51" s="56">
        <v>748445</v>
      </c>
      <c r="BD51" s="31"/>
      <c r="BE51" s="56"/>
      <c r="BF51" s="56">
        <f t="shared" si="53"/>
        <v>751477.8500771235</v>
      </c>
      <c r="BG51" s="56"/>
      <c r="BH51" s="19">
        <f t="shared" si="54"/>
        <v>1052567</v>
      </c>
      <c r="BI51" s="62">
        <f t="shared" si="55"/>
        <v>43</v>
      </c>
    </row>
    <row r="52" spans="1:61" s="77" customFormat="1" ht="12.75">
      <c r="A52" s="67">
        <f t="shared" si="28"/>
        <v>4</v>
      </c>
      <c r="B52" s="68" t="s">
        <v>56</v>
      </c>
      <c r="C52" s="67" t="s">
        <v>12</v>
      </c>
      <c r="D52" s="67" t="s">
        <v>73</v>
      </c>
      <c r="E52" s="18">
        <f t="shared" si="29"/>
      </c>
      <c r="F52" s="67"/>
      <c r="G52" s="69">
        <f t="shared" si="30"/>
      </c>
      <c r="H52" s="20">
        <f t="shared" si="31"/>
      </c>
      <c r="I52" s="20">
        <f t="shared" si="32"/>
      </c>
      <c r="J52" s="132">
        <f t="shared" si="33"/>
      </c>
      <c r="K52" s="71"/>
      <c r="L52" s="72"/>
      <c r="M52" s="69">
        <f t="shared" si="34"/>
      </c>
      <c r="N52" s="69"/>
      <c r="O52" s="69">
        <f t="shared" si="35"/>
      </c>
      <c r="P52" s="69"/>
      <c r="Q52" s="72">
        <f t="shared" si="36"/>
      </c>
      <c r="R52" s="73">
        <f t="shared" si="37"/>
      </c>
      <c r="S52" s="74">
        <f t="shared" si="38"/>
      </c>
      <c r="T52" s="67"/>
      <c r="U52" s="24">
        <f t="shared" si="39"/>
      </c>
      <c r="V52" s="73">
        <f t="shared" si="40"/>
      </c>
      <c r="W52" s="74">
        <f t="shared" si="41"/>
      </c>
      <c r="X52" s="69"/>
      <c r="Y52" s="75"/>
      <c r="Z52" s="67"/>
      <c r="AA52" s="69">
        <f t="shared" si="42"/>
      </c>
      <c r="AB52" s="69">
        <f t="shared" si="43"/>
      </c>
      <c r="AC52" s="74"/>
      <c r="AD52" s="69">
        <f t="shared" si="44"/>
      </c>
      <c r="AE52" s="69">
        <f t="shared" si="45"/>
      </c>
      <c r="AF52" s="69">
        <f t="shared" si="46"/>
      </c>
      <c r="AG52" s="69"/>
      <c r="AH52" s="69">
        <f t="shared" si="47"/>
      </c>
      <c r="AI52" s="74"/>
      <c r="AJ52" s="69">
        <f t="shared" si="48"/>
        <v>9154497</v>
      </c>
      <c r="AK52" s="74">
        <f t="shared" si="49"/>
        <v>6</v>
      </c>
      <c r="AL52" s="74"/>
      <c r="AM52" s="69"/>
      <c r="AN52" s="69"/>
      <c r="AO52" s="69"/>
      <c r="AP52" s="19">
        <f t="shared" si="50"/>
      </c>
      <c r="AQ52" s="76"/>
      <c r="AR52" s="137"/>
      <c r="AS52" s="69"/>
      <c r="AT52" s="70"/>
      <c r="AU52" s="69"/>
      <c r="AV52" s="74"/>
      <c r="AW52" s="69">
        <v>12830632</v>
      </c>
      <c r="AX52" s="69"/>
      <c r="AY52" s="19">
        <f t="shared" si="51"/>
      </c>
      <c r="AZ52" s="19">
        <f t="shared" si="52"/>
        <v>9154497</v>
      </c>
      <c r="BA52" s="19">
        <v>9154497</v>
      </c>
      <c r="BB52" s="30">
        <v>12419293</v>
      </c>
      <c r="BC52" s="69">
        <v>8634455</v>
      </c>
      <c r="BD52" s="31"/>
      <c r="BE52" s="69"/>
      <c r="BF52" s="69">
        <f t="shared" si="53"/>
        <v>9154497</v>
      </c>
      <c r="BG52" s="69"/>
      <c r="BH52" s="19">
        <f t="shared" si="54"/>
        <v>12830632</v>
      </c>
      <c r="BI52" s="74">
        <f t="shared" si="55"/>
        <v>5</v>
      </c>
    </row>
    <row r="53" spans="2:13" ht="12.75">
      <c r="B53" s="18"/>
      <c r="M53" s="80"/>
    </row>
    <row r="54" spans="2:60" ht="12.75">
      <c r="B54" s="85"/>
      <c r="C54" s="9" t="s">
        <v>52</v>
      </c>
      <c r="G54" s="80">
        <f>SUM(G3:G52)</f>
        <v>5996200.944</v>
      </c>
      <c r="H54" s="86"/>
      <c r="I54" s="86"/>
      <c r="M54" s="80">
        <f>SUM(M3:M52)</f>
        <v>334403.5359974929</v>
      </c>
      <c r="N54" s="80"/>
      <c r="O54" s="80"/>
      <c r="P54" s="80"/>
      <c r="X54" s="80"/>
      <c r="Y54" s="86"/>
      <c r="AA54" s="80">
        <f>SUM(AA3:AA52)</f>
        <v>5768692.944</v>
      </c>
      <c r="AB54" s="80">
        <f>SUM(AB3:AB52)</f>
        <v>135936448.99304715</v>
      </c>
      <c r="AD54" s="80">
        <f>SUM(AD3:AD52)</f>
        <v>1186355.9440000001</v>
      </c>
      <c r="AE54" s="80">
        <f>SUM(AE3:AE52)</f>
        <v>19210669</v>
      </c>
      <c r="AF54" s="80">
        <f>SUM(AF3:AF52)</f>
        <v>25693777</v>
      </c>
      <c r="AG54" s="80"/>
      <c r="AH54" s="80">
        <f>SUM(AH3:AH52)</f>
        <v>36007171</v>
      </c>
      <c r="AJ54" s="80">
        <f>SUM(AJ3:AJ52)</f>
        <v>220276498.76990473</v>
      </c>
      <c r="AM54" s="80">
        <f>SUM(AM3:AM52)</f>
        <v>4181577</v>
      </c>
      <c r="AN54" s="80">
        <f>SUM(AN3:AN52)</f>
        <v>891641.944</v>
      </c>
      <c r="AO54" s="80"/>
      <c r="AP54" s="80"/>
      <c r="AQ54" s="79"/>
      <c r="AR54" s="139"/>
      <c r="AS54" s="80">
        <f>SUM(AS3:AS52)</f>
        <v>2857564</v>
      </c>
      <c r="AT54" s="87"/>
      <c r="AU54" s="80">
        <f>SUM(AU3:AU52)</f>
        <v>2934602</v>
      </c>
      <c r="AW54" s="80">
        <f>SUM(AW3:AW52)</f>
        <v>308143815</v>
      </c>
      <c r="AX54" s="80"/>
      <c r="AY54" s="80"/>
      <c r="AZ54" s="80">
        <f>SUM(AZ3:AZ52)</f>
        <v>218951973.9398707</v>
      </c>
      <c r="BA54" s="80"/>
      <c r="BB54" s="80"/>
      <c r="BC54" s="80"/>
      <c r="BD54" s="80"/>
      <c r="BE54" s="80"/>
      <c r="BF54" s="80"/>
      <c r="BG54" s="80"/>
      <c r="BH54" s="80">
        <f>SUM(BH3:BH52)</f>
        <v>308143815</v>
      </c>
    </row>
    <row r="55" spans="1:61" s="90" customFormat="1" ht="12.75">
      <c r="A55" s="88"/>
      <c r="B55" s="89"/>
      <c r="C55" s="88"/>
      <c r="D55" s="88"/>
      <c r="E55" s="88"/>
      <c r="F55" s="88"/>
      <c r="H55" s="91"/>
      <c r="I55" s="91"/>
      <c r="J55" s="91">
        <f>COUNT(G3:G52)</f>
        <v>40</v>
      </c>
      <c r="K55" s="92"/>
      <c r="L55" s="92"/>
      <c r="M55" s="91">
        <f>COUNTIF(M3:M52,"&gt;0")</f>
        <v>3</v>
      </c>
      <c r="N55" s="93"/>
      <c r="O55" s="93"/>
      <c r="P55" s="93"/>
      <c r="Q55" s="94"/>
      <c r="R55" s="95"/>
      <c r="S55" s="96"/>
      <c r="T55" s="88"/>
      <c r="U55" s="94"/>
      <c r="V55" s="94"/>
      <c r="W55" s="94"/>
      <c r="X55" s="93"/>
      <c r="Y55" s="91"/>
      <c r="Z55" s="88"/>
      <c r="AA55" s="91">
        <f>COUNT(AA3:AA52)</f>
        <v>35</v>
      </c>
      <c r="AB55" s="91"/>
      <c r="AC55" s="96"/>
      <c r="AD55" s="91">
        <f>COUNT(AD3:AD52)</f>
        <v>8</v>
      </c>
      <c r="AE55" s="96"/>
      <c r="AF55" s="96"/>
      <c r="AG55" s="96"/>
      <c r="AH55" s="91">
        <f>COUNT(AH3:AH52)</f>
        <v>10</v>
      </c>
      <c r="AI55" s="96"/>
      <c r="AJ55" s="93"/>
      <c r="AK55" s="96"/>
      <c r="AL55" s="96"/>
      <c r="AM55" s="91">
        <f>COUNT(AM3:AM52)</f>
        <v>20</v>
      </c>
      <c r="AN55" s="91">
        <f>COUNT(AN3:AN52)</f>
        <v>11</v>
      </c>
      <c r="AO55" s="91"/>
      <c r="AP55" s="91">
        <f>COUNT(AP3:AP52)</f>
        <v>32</v>
      </c>
      <c r="AQ55" s="97"/>
      <c r="AR55" s="140"/>
      <c r="AS55" s="93"/>
      <c r="AT55" s="98"/>
      <c r="AU55" s="93"/>
      <c r="AV55" s="96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6"/>
    </row>
    <row r="56" spans="2:61" s="99" customFormat="1" ht="12.75">
      <c r="B56" s="99" t="s">
        <v>54</v>
      </c>
      <c r="C56" s="99">
        <f>COUNTIF(B$3:B$52,B56)</f>
        <v>4</v>
      </c>
      <c r="D56" s="86"/>
      <c r="E56" s="86"/>
      <c r="F56" s="86"/>
      <c r="G56" s="80">
        <f>SUMIF(H$3:H$52,H56,$G$3:$G$52)</f>
        <v>5290397.944</v>
      </c>
      <c r="H56" s="86" t="s">
        <v>75</v>
      </c>
      <c r="I56" s="86"/>
      <c r="J56" s="86">
        <f>COUNTIF(H$3:H$52,H56)</f>
        <v>32</v>
      </c>
      <c r="M56" s="100"/>
      <c r="Q56" s="101"/>
      <c r="U56" s="14"/>
      <c r="V56" s="14"/>
      <c r="W56" s="14"/>
      <c r="AE56" s="101">
        <f>AD54/AE54</f>
        <v>0.061755056213815364</v>
      </c>
      <c r="AF56" s="101">
        <f>AD54/AF54</f>
        <v>0.046172890190492435</v>
      </c>
      <c r="AG56" s="101"/>
      <c r="AH56" s="101">
        <f>AH54/BH54</f>
        <v>0.11685183750970306</v>
      </c>
      <c r="AJ56" s="100">
        <f>SUMIF($B$3:$B$52,$B56,AJ$3:AJ$52)</f>
        <v>5999860</v>
      </c>
      <c r="AM56" s="100">
        <f>SUMIF($B$3:$B$52,$B56,AM$3:AM$52)</f>
        <v>162508</v>
      </c>
      <c r="AN56" s="100">
        <f>SUMIF($B$3:$B$52,$B56,AN$3:AN$52)</f>
        <v>22943</v>
      </c>
      <c r="AO56" s="100"/>
      <c r="AP56" s="100"/>
      <c r="AQ56" s="102"/>
      <c r="AR56" s="141"/>
      <c r="AS56" s="100">
        <f>SUMIF($B$3:$B$52,$B56,AS$3:AS$52)</f>
        <v>76003</v>
      </c>
      <c r="AT56" s="103"/>
      <c r="AU56" s="100">
        <f>SUMIF($B$3:$B$52,$B56,AU$3:AU$52)</f>
        <v>60202</v>
      </c>
      <c r="AV56" s="100"/>
      <c r="AW56" s="100">
        <f>SUMIF($B$3:$B$52,$B56,AW$3:AW$52)</f>
        <v>8291615</v>
      </c>
      <c r="AX56" s="100"/>
      <c r="AY56" s="100"/>
      <c r="AZ56" s="100">
        <f>SUMIF($B$3:$B$52,$B56,AZ$3:AZ$52)</f>
        <v>5839172</v>
      </c>
      <c r="BA56" s="100"/>
      <c r="BB56" s="100"/>
      <c r="BC56" s="100"/>
      <c r="BD56" s="100"/>
      <c r="BH56" s="100">
        <f>SUMIF($B$3:$B$52,$B56,BH$3:BH$52)</f>
        <v>8291615</v>
      </c>
      <c r="BI56" s="104">
        <f>BH56/$BH$54</f>
        <v>0.026908263597632164</v>
      </c>
    </row>
    <row r="57" spans="2:61" s="105" customFormat="1" ht="12.75">
      <c r="B57" s="105" t="s">
        <v>53</v>
      </c>
      <c r="C57" s="105">
        <f>COUNTIF(B$3:B$52,B57)</f>
        <v>37</v>
      </c>
      <c r="G57" s="128"/>
      <c r="H57" s="128">
        <f>SUMIF(I$3:I$52,I57,$G$3:$G$52)</f>
        <v>4181577</v>
      </c>
      <c r="I57" s="129" t="s">
        <v>111</v>
      </c>
      <c r="J57" s="129">
        <f>COUNTIF(I$3:I$52,I57)</f>
        <v>20</v>
      </c>
      <c r="M57" s="80"/>
      <c r="Q57" s="14"/>
      <c r="U57" s="14"/>
      <c r="V57" s="14"/>
      <c r="W57" s="14"/>
      <c r="AA57" s="80"/>
      <c r="AJ57" s="80">
        <f>SUMIF($B$3:$B$52,$B57,AJ$3:AJ$52)</f>
        <v>146803028.99304715</v>
      </c>
      <c r="AM57" s="80">
        <f aca="true" t="shared" si="56" ref="AM57:AN59">SUMIF($B$3:$B$52,$B57,AM$3:AM$52)</f>
        <v>3978773</v>
      </c>
      <c r="AN57" s="80">
        <f t="shared" si="56"/>
        <v>868037.944</v>
      </c>
      <c r="AO57" s="80"/>
      <c r="AP57" s="80"/>
      <c r="AQ57" s="79"/>
      <c r="AR57" s="139"/>
      <c r="AS57" s="80">
        <f>SUMIF($B$3:$B$52,$B57,AS$3:AS$52)</f>
        <v>2781561</v>
      </c>
      <c r="AT57" s="87"/>
      <c r="AU57" s="80">
        <f>SUMIF($B$3:$B$52,$B57,AU$3:AU$52)</f>
        <v>2087130</v>
      </c>
      <c r="AV57" s="80"/>
      <c r="AW57" s="80">
        <f>SUMIF($B$3:$B$52,$B57,AW$3:AW$52)</f>
        <v>205965633</v>
      </c>
      <c r="AX57" s="80"/>
      <c r="AY57" s="80"/>
      <c r="AZ57" s="80">
        <f>SUMIF($B$3:$B$52,$B57,AZ$3:AZ$52)</f>
        <v>146028363.0116856</v>
      </c>
      <c r="BA57" s="80"/>
      <c r="BB57" s="80"/>
      <c r="BC57" s="80"/>
      <c r="BD57" s="80"/>
      <c r="BH57" s="80">
        <f>SUMIF($B$3:$B$52,$B57,BH$3:BH$52)</f>
        <v>205965633</v>
      </c>
      <c r="BI57" s="108">
        <f>BH57/$BH$54</f>
        <v>0.6684074869391748</v>
      </c>
    </row>
    <row r="58" spans="2:61" s="109" customFormat="1" ht="12.75">
      <c r="B58" s="109" t="s">
        <v>55</v>
      </c>
      <c r="C58" s="109">
        <f>COUNTIF(B$3:B$52,B58)</f>
        <v>8</v>
      </c>
      <c r="D58" s="86"/>
      <c r="E58" s="86"/>
      <c r="F58" s="86"/>
      <c r="G58" s="128"/>
      <c r="H58" s="128">
        <f>SUMIF(I$3:I$52,I58,$G$3:$G$52)</f>
        <v>891641.944</v>
      </c>
      <c r="I58" s="129" t="s">
        <v>112</v>
      </c>
      <c r="J58" s="129">
        <f>COUNTIF(I$3:I$52,I58)</f>
        <v>11</v>
      </c>
      <c r="M58" s="52"/>
      <c r="Q58" s="112"/>
      <c r="U58" s="14"/>
      <c r="V58" s="14"/>
      <c r="W58" s="14"/>
      <c r="AA58" s="52"/>
      <c r="AB58" s="52"/>
      <c r="AJ58" s="52">
        <f>SUMIF($B$3:$B$52,$B58,AJ$3:AJ$52)</f>
        <v>58319112.77685762</v>
      </c>
      <c r="AM58" s="52">
        <f t="shared" si="56"/>
        <v>40296</v>
      </c>
      <c r="AN58" s="52">
        <f t="shared" si="56"/>
        <v>661</v>
      </c>
      <c r="AO58" s="52"/>
      <c r="AP58" s="52"/>
      <c r="AQ58" s="113"/>
      <c r="AR58" s="142"/>
      <c r="AS58" s="52">
        <f>SUMIF($B$3:$B$52,$B58,AS$3:AS$52)</f>
        <v>0</v>
      </c>
      <c r="AT58" s="114"/>
      <c r="AU58" s="52">
        <f>SUMIF($B$3:$B$52,$B58,AU$3:AU$52)</f>
        <v>787270</v>
      </c>
      <c r="AV58" s="52"/>
      <c r="AW58" s="52">
        <f>SUMIF($B$3:$B$52,$B58,AW$3:AW$52)</f>
        <v>81055935</v>
      </c>
      <c r="AX58" s="52"/>
      <c r="AY58" s="52"/>
      <c r="AZ58" s="52">
        <f>SUMIF($B$3:$B$52,$B58,AZ$3:AZ$52)</f>
        <v>57929941.92818512</v>
      </c>
      <c r="BA58" s="52"/>
      <c r="BB58" s="52"/>
      <c r="BC58" s="52"/>
      <c r="BD58" s="52"/>
      <c r="BH58" s="52">
        <f>SUMIF($B$3:$B$52,$B58,BH$3:BH$52)</f>
        <v>81055935</v>
      </c>
      <c r="BI58" s="115">
        <f>BH58/$BH$54</f>
        <v>0.263045795678229</v>
      </c>
    </row>
    <row r="59" spans="2:61" s="116" customFormat="1" ht="12.75">
      <c r="B59" s="116" t="s">
        <v>56</v>
      </c>
      <c r="C59" s="116">
        <f>COUNTIF(B$3:B$52,B59)</f>
        <v>1</v>
      </c>
      <c r="G59" s="128"/>
      <c r="H59" s="128">
        <f>SUMIF(I$3:I$52,I59,$G$3:$G$52)</f>
        <v>217179</v>
      </c>
      <c r="I59" s="129" t="s">
        <v>113</v>
      </c>
      <c r="J59" s="129">
        <f>COUNTIF(I$3:I$52,I59)</f>
        <v>1</v>
      </c>
      <c r="M59" s="50"/>
      <c r="Q59" s="117"/>
      <c r="U59" s="14"/>
      <c r="V59" s="14"/>
      <c r="W59" s="14"/>
      <c r="AA59" s="50"/>
      <c r="AB59" s="50"/>
      <c r="AJ59" s="50">
        <f>SUMIF($B$3:$B$52,$B59,AJ$3:AJ$52)</f>
        <v>9154497</v>
      </c>
      <c r="AM59" s="50">
        <f t="shared" si="56"/>
        <v>0</v>
      </c>
      <c r="AN59" s="50">
        <f t="shared" si="56"/>
        <v>0</v>
      </c>
      <c r="AO59" s="50"/>
      <c r="AP59" s="50"/>
      <c r="AQ59" s="118"/>
      <c r="AR59" s="143"/>
      <c r="AS59" s="50">
        <f>SUMIF($B$3:$B$52,$B59,AS$3:AS$52)</f>
        <v>0</v>
      </c>
      <c r="AT59" s="119"/>
      <c r="AU59" s="50">
        <f>SUMIF($B$3:$B$52,$B59,AU$3:AU$52)</f>
        <v>0</v>
      </c>
      <c r="AV59" s="50"/>
      <c r="AW59" s="50">
        <f>SUMIF($B$3:$B$52,$B59,AW$3:AW$52)</f>
        <v>12830632</v>
      </c>
      <c r="AX59" s="50"/>
      <c r="AY59" s="50"/>
      <c r="AZ59" s="50">
        <f>SUMIF($B$3:$B$52,$B59,AZ$3:AZ$52)</f>
        <v>9154497</v>
      </c>
      <c r="BA59" s="50"/>
      <c r="BB59" s="50"/>
      <c r="BC59" s="50"/>
      <c r="BD59" s="50"/>
      <c r="BH59" s="50">
        <f>SUMIF($B$3:$B$52,$B59,BH$3:BH$52)</f>
        <v>12830632</v>
      </c>
      <c r="BI59" s="120">
        <f>BH59/$BH$54</f>
        <v>0.04163845378496401</v>
      </c>
    </row>
    <row r="60" spans="7:10" ht="12.75">
      <c r="G60" s="106">
        <f>SUMIF(H$3:H$52,H60,$G$3:$G$52)</f>
        <v>574834</v>
      </c>
      <c r="H60" s="107" t="s">
        <v>74</v>
      </c>
      <c r="I60" s="107"/>
      <c r="J60" s="107">
        <f>COUNTIF(H$3:H$52,H60)</f>
        <v>5</v>
      </c>
    </row>
    <row r="61" spans="1:25" ht="12.75">
      <c r="A61" s="4">
        <v>3</v>
      </c>
      <c r="B61" s="121" t="s">
        <v>55</v>
      </c>
      <c r="G61" s="110">
        <f>SUMIF(H$3:H$52,H61,$G$3:$G$52)</f>
        <v>130969</v>
      </c>
      <c r="H61" s="111" t="s">
        <v>76</v>
      </c>
      <c r="I61" s="111"/>
      <c r="J61" s="111">
        <f>COUNTIF(H$3:H$52,H61)</f>
        <v>3</v>
      </c>
      <c r="X61" s="122"/>
      <c r="Y61" s="123"/>
    </row>
    <row r="62" spans="1:25" ht="12.75">
      <c r="A62" s="4">
        <v>4</v>
      </c>
      <c r="B62" s="121" t="s">
        <v>56</v>
      </c>
      <c r="G62" s="7">
        <f>M54</f>
        <v>334403.5359974929</v>
      </c>
      <c r="H62" s="78" t="s">
        <v>95</v>
      </c>
      <c r="J62" s="78">
        <f>COUNT(M$3:M$52)</f>
        <v>3</v>
      </c>
      <c r="X62" s="80"/>
      <c r="Y62" s="86"/>
    </row>
    <row r="63" spans="1:2" ht="12.75">
      <c r="A63" s="4">
        <v>2</v>
      </c>
      <c r="B63" s="121" t="s">
        <v>53</v>
      </c>
    </row>
    <row r="64" spans="1:7" ht="12.75">
      <c r="A64" s="4">
        <v>1</v>
      </c>
      <c r="B64" s="121" t="s">
        <v>54</v>
      </c>
      <c r="G64" s="80">
        <f>SUM(G56:G62)</f>
        <v>6330604.479997493</v>
      </c>
    </row>
    <row r="66" spans="2:3" ht="12.75">
      <c r="B66" s="121" t="s">
        <v>109</v>
      </c>
      <c r="C66" s="127">
        <f ca="1">DATE(YEAR(NOW()),MONTH(NOW()),DAY(NOW()))</f>
        <v>40772</v>
      </c>
    </row>
  </sheetData>
  <sheetProtection/>
  <mergeCells count="40">
    <mergeCell ref="AR1:AR2"/>
    <mergeCell ref="AK1:AK2"/>
    <mergeCell ref="Q1:S1"/>
    <mergeCell ref="BB1:BB2"/>
    <mergeCell ref="AZ1:AZ2"/>
    <mergeCell ref="U1:W1"/>
    <mergeCell ref="AH1:AH2"/>
    <mergeCell ref="Y1:Y2"/>
    <mergeCell ref="T1:T2"/>
    <mergeCell ref="AA1:AA2"/>
    <mergeCell ref="AB1:AB2"/>
    <mergeCell ref="AJ1:AJ2"/>
    <mergeCell ref="AY1:AY2"/>
    <mergeCell ref="AP1:AP2"/>
    <mergeCell ref="AQ1:AQ2"/>
    <mergeCell ref="AS1:AS2"/>
    <mergeCell ref="AO1:AO2"/>
    <mergeCell ref="B1:B2"/>
    <mergeCell ref="C1:C2"/>
    <mergeCell ref="D1:D2"/>
    <mergeCell ref="L1:L2"/>
    <mergeCell ref="G1:J1"/>
    <mergeCell ref="F1:F2"/>
    <mergeCell ref="E1:E2"/>
    <mergeCell ref="BI1:BI2"/>
    <mergeCell ref="O1:O2"/>
    <mergeCell ref="AD1:AD2"/>
    <mergeCell ref="AF1:AF2"/>
    <mergeCell ref="AE1:AE2"/>
    <mergeCell ref="BC1:BC2"/>
    <mergeCell ref="BF1:BF2"/>
    <mergeCell ref="BH1:BH2"/>
    <mergeCell ref="AT1:AT2"/>
    <mergeCell ref="BE1:BE2"/>
    <mergeCell ref="AX1:AX2"/>
    <mergeCell ref="BA1:BA2"/>
    <mergeCell ref="AM1:AM2"/>
    <mergeCell ref="AN1:AN2"/>
    <mergeCell ref="AU1:AU2"/>
    <mergeCell ref="AW1:AW2"/>
  </mergeCells>
  <conditionalFormatting sqref="Y3:Y52">
    <cfRule type="cellIs" priority="20" dxfId="9" operator="equal" stopIfTrue="1">
      <formula>"New"</formula>
    </cfRule>
    <cfRule type="cellIs" priority="21" dxfId="8" operator="equal" stopIfTrue="1">
      <formula>"Old"</formula>
    </cfRule>
  </conditionalFormatting>
  <conditionalFormatting sqref="AA3:GD52 A3:W52">
    <cfRule type="expression" priority="14" dxfId="3" stopIfTrue="1">
      <formula>$B3="True RTC"</formula>
    </cfRule>
    <cfRule type="expression" priority="15" dxfId="2" stopIfTrue="1">
      <formula>$B3="Shall Issue"</formula>
    </cfRule>
    <cfRule type="expression" priority="16" dxfId="1" stopIfTrue="1">
      <formula>$B3="May Issue"</formula>
    </cfRule>
    <cfRule type="expression" priority="17" dxfId="0" stopIfTrue="1">
      <formula>$B3="No Issue"</formula>
    </cfRule>
  </conditionalFormatting>
  <conditionalFormatting sqref="C66">
    <cfRule type="expression" priority="1" dxfId="3" stopIfTrue="1">
      <formula>$B66="True RTC"</formula>
    </cfRule>
    <cfRule type="expression" priority="2" dxfId="2" stopIfTrue="1">
      <formula>$B66="Shall Issue"</formula>
    </cfRule>
    <cfRule type="expression" priority="3" dxfId="1" stopIfTrue="1">
      <formula>$B66="May Issue"</formula>
    </cfRule>
    <cfRule type="expression" priority="4" dxfId="0" stopIfTrue="1">
      <formula>$B66="No Issue"</formula>
    </cfRule>
  </conditionalFormatting>
  <hyperlinks>
    <hyperlink ref="AU1" r:id="rId1" display="1998 CCRKBA Press Release"/>
    <hyperlink ref="AS1" r:id="rId2" display="Bird's Book (4th edition)"/>
    <hyperlink ref="B1" r:id="rId3" display="Status"/>
    <hyperlink ref="BH1:BH2" r:id="rId4" display="Population July 2009 Estimate"/>
    <hyperlink ref="AW1:AW2" r:id="rId5" display="Population 2000 Census"/>
    <hyperlink ref="BC1:BC2" r:id="rId6" display="Population Age 21+ from 2000 Census"/>
    <hyperlink ref="AX1:AX2" r:id="rId7" display="Population Under 18 (computed)"/>
    <hyperlink ref="BA1:BA2" r:id="rId8" display="Population Age 21+ from 2010 Census"/>
    <hyperlink ref="BB1:BB2" r:id="rId9" display="Population Age 21+ from 2000 Census"/>
    <hyperlink ref="AR3" r:id="rId10" display="http://www.nh.gov/safety/divisions/nhsp/ssb/permitslicensing/index.html"/>
  </hyperlinks>
  <printOptions/>
  <pageMargins left="0.75" right="0.75" top="1" bottom="1" header="0.5" footer="0.5"/>
  <pageSetup horizontalDpi="200" verticalDpi="2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10.140625" style="151" hidden="1" customWidth="1"/>
    <col min="2" max="2" width="14.140625" style="151" bestFit="1" customWidth="1"/>
    <col min="3" max="3" width="9.140625" style="146" bestFit="1" customWidth="1"/>
    <col min="4" max="4" width="8.00390625" style="147" hidden="1" customWidth="1"/>
    <col min="5" max="5" width="6.57421875" style="148" hidden="1" customWidth="1"/>
    <col min="6" max="6" width="5.57421875" style="149" hidden="1" customWidth="1"/>
    <col min="7" max="7" width="6.00390625" style="149" hidden="1" customWidth="1"/>
    <col min="8" max="8" width="8.00390625" style="149" hidden="1" customWidth="1"/>
    <col min="9" max="9" width="6.140625" style="149" hidden="1" customWidth="1"/>
    <col min="10" max="10" width="5.57421875" style="149" hidden="1" customWidth="1"/>
    <col min="11" max="11" width="10.8515625" style="153" hidden="1" customWidth="1"/>
    <col min="12" max="12" width="18.421875" style="146" hidden="1" customWidth="1"/>
    <col min="13" max="13" width="6.8515625" style="146" bestFit="1" customWidth="1"/>
    <col min="14" max="14" width="60.7109375" style="150" bestFit="1" customWidth="1"/>
    <col min="15" max="16384" width="9.140625" style="151" customWidth="1"/>
  </cols>
  <sheetData>
    <row r="1" spans="1:14" s="125" customFormat="1" ht="38.25" customHeight="1">
      <c r="A1" s="163" t="str">
        <f>'All Data'!B1</f>
        <v>Status</v>
      </c>
      <c r="B1" s="163" t="str">
        <f>'All Data'!C1</f>
        <v>State</v>
      </c>
      <c r="C1" s="164" t="s">
        <v>83</v>
      </c>
      <c r="D1" s="160" t="str">
        <f>'All Data'!Q1</f>
        <v>Age Eligible Population with License</v>
      </c>
      <c r="E1" s="160"/>
      <c r="F1" s="160"/>
      <c r="G1" s="160" t="str">
        <f>'All Data'!T1</f>
        <v>Age to Carry</v>
      </c>
      <c r="H1" s="160" t="str">
        <f>'All Data'!U1</f>
        <v>Total Population with License</v>
      </c>
      <c r="I1" s="160"/>
      <c r="J1" s="160"/>
      <c r="K1" s="160" t="str">
        <f>'All Data'!BH1</f>
        <v>Population Estimate for 20nn</v>
      </c>
      <c r="L1" s="160" t="str">
        <f>'All Data'!AJ1</f>
        <v>Target Population (extrapolated from estimate)</v>
      </c>
      <c r="M1" s="124"/>
      <c r="N1" s="144"/>
    </row>
    <row r="2" spans="1:14" s="125" customFormat="1" ht="12.75">
      <c r="A2" s="163"/>
      <c r="B2" s="163"/>
      <c r="C2" s="164"/>
      <c r="D2" s="2" t="str">
        <f>'All Data'!Q2</f>
        <v>Percent</v>
      </c>
      <c r="E2" s="2" t="str">
        <f>'All Data'!R2</f>
        <v>1 in X</v>
      </c>
      <c r="F2" s="2" t="str">
        <f>'All Data'!S2</f>
        <v>Rank</v>
      </c>
      <c r="G2" s="160"/>
      <c r="H2" s="2" t="str">
        <f>'All Data'!U2</f>
        <v>Percent</v>
      </c>
      <c r="I2" s="2" t="str">
        <f>'All Data'!V2</f>
        <v>1 in X</v>
      </c>
      <c r="J2" s="2" t="str">
        <f>'All Data'!W2</f>
        <v>Rank</v>
      </c>
      <c r="K2" s="160"/>
      <c r="L2" s="160"/>
      <c r="M2" s="124"/>
      <c r="N2" s="144"/>
    </row>
    <row r="3" spans="1:12" ht="12.75">
      <c r="A3" s="162" t="s">
        <v>94</v>
      </c>
      <c r="B3" s="162"/>
      <c r="C3" s="146">
        <f>SUM(C4:C53)</f>
        <v>6330604.479997492</v>
      </c>
      <c r="K3" s="146">
        <f>SUM(K4:K53)</f>
        <v>308143815</v>
      </c>
      <c r="L3" s="146">
        <f>SUM(L4:L53)</f>
        <v>220276498.76990473</v>
      </c>
    </row>
    <row r="4" spans="1:14" s="125" customFormat="1" ht="12.75">
      <c r="A4" s="151" t="str">
        <f>'All Data'!B3</f>
        <v>Shall Issue</v>
      </c>
      <c r="B4" s="151" t="str">
        <f>'All Data'!C3</f>
        <v>New Hampshire</v>
      </c>
      <c r="C4" s="146">
        <f>'All Data'!O3</f>
        <v>217179</v>
      </c>
      <c r="D4" s="147">
        <f>'All Data'!Q3</f>
        <v>0.2110099141499131</v>
      </c>
      <c r="E4" s="148">
        <f>'All Data'!R3</f>
        <v>4.8</v>
      </c>
      <c r="F4" s="149">
        <f>'All Data'!S3</f>
        <v>1</v>
      </c>
      <c r="G4" s="149">
        <f>'All Data'!T3</f>
        <v>18</v>
      </c>
      <c r="H4" s="147">
        <f>'All Data'!U3</f>
        <v>0.16497071714509257</v>
      </c>
      <c r="I4" s="149">
        <f>'All Data'!V3</f>
        <v>6.1</v>
      </c>
      <c r="J4" s="149">
        <f>'All Data'!W3</f>
        <v>1</v>
      </c>
      <c r="K4" s="152">
        <f>'All Data'!BH3</f>
        <v>1316470</v>
      </c>
      <c r="L4" s="146">
        <f>'All Data'!AJ3</f>
        <v>1029236.0000000001</v>
      </c>
      <c r="M4" s="146" t="str">
        <f>'All Data'!I3</f>
        <v>SWAG</v>
      </c>
      <c r="N4" s="145" t="str">
        <f>IF('All Data'!AR3="","",'All Data'!AR3)</f>
        <v>http://www.nh.gov/safety/divisions/nhsp/ssb/permitslicensing/index.html</v>
      </c>
    </row>
    <row r="5" spans="1:14" s="125" customFormat="1" ht="12.75">
      <c r="A5" s="151" t="str">
        <f>'All Data'!B4</f>
        <v>Shall Issue</v>
      </c>
      <c r="B5" s="151" t="str">
        <f>'All Data'!C4</f>
        <v>South Dakota</v>
      </c>
      <c r="C5" s="146">
        <f>'All Data'!O4</f>
        <v>55770</v>
      </c>
      <c r="D5" s="147">
        <f>'All Data'!Q4</f>
        <v>0.09121941565270869</v>
      </c>
      <c r="E5" s="148">
        <f>'All Data'!R4</f>
        <v>11</v>
      </c>
      <c r="F5" s="149">
        <f>'All Data'!S4</f>
        <v>2</v>
      </c>
      <c r="G5" s="149">
        <f>'All Data'!T4</f>
        <v>18</v>
      </c>
      <c r="H5" s="147">
        <f>'All Data'!U4</f>
        <v>0.06849836645459235</v>
      </c>
      <c r="I5" s="149">
        <f>'All Data'!V4</f>
        <v>14.6</v>
      </c>
      <c r="J5" s="149">
        <f>'All Data'!W4</f>
        <v>2</v>
      </c>
      <c r="K5" s="152">
        <f>'All Data'!BH4</f>
        <v>814180</v>
      </c>
      <c r="L5" s="146">
        <f>'All Data'!AJ4</f>
        <v>611383</v>
      </c>
      <c r="M5" s="146" t="str">
        <f>'All Data'!I4</f>
        <v>Link</v>
      </c>
      <c r="N5" s="145" t="str">
        <f>IF('All Data'!AR4="","",'All Data'!AR4)</f>
        <v>http://apps.sd.gov/news/showDoc.aspx?i=11557</v>
      </c>
    </row>
    <row r="6" spans="1:14" ht="12.75">
      <c r="A6" s="151" t="str">
        <f>'All Data'!B5</f>
        <v>Shall Issue</v>
      </c>
      <c r="B6" s="151" t="str">
        <f>'All Data'!C5</f>
        <v>Utah</v>
      </c>
      <c r="C6" s="146">
        <f>'All Data'!O5</f>
        <v>141588</v>
      </c>
      <c r="D6" s="147">
        <f>'All Data'!Q5</f>
        <v>0.08048687316103742</v>
      </c>
      <c r="E6" s="148">
        <f>'All Data'!R5</f>
        <v>12.5</v>
      </c>
      <c r="F6" s="149">
        <f>'All Data'!S5</f>
        <v>3</v>
      </c>
      <c r="G6" s="149">
        <f>'All Data'!T5</f>
        <v>21</v>
      </c>
      <c r="H6" s="147">
        <f>'All Data'!U5</f>
        <v>0.051227891174922255</v>
      </c>
      <c r="I6" s="149">
        <f>'All Data'!V5</f>
        <v>19.6</v>
      </c>
      <c r="J6" s="149">
        <f>'All Data'!W5</f>
        <v>4</v>
      </c>
      <c r="K6" s="152">
        <f>'All Data'!BH5</f>
        <v>2763885</v>
      </c>
      <c r="L6" s="146">
        <f>'All Data'!AJ5</f>
        <v>1759143.9999999998</v>
      </c>
      <c r="M6" s="146" t="str">
        <f>'All Data'!I5</f>
        <v>Email</v>
      </c>
      <c r="N6" s="145" t="str">
        <f>IF('All Data'!AR5="","",'All Data'!AR5)</f>
        <v>http://publicsafety.utah.gov/bci/concealedfirearms.html</v>
      </c>
    </row>
    <row r="7" spans="1:14" ht="24">
      <c r="A7" s="151" t="str">
        <f>'All Data'!B6</f>
        <v>Shall Issue</v>
      </c>
      <c r="B7" s="151" t="str">
        <f>'All Data'!C6</f>
        <v>Pennsylvania</v>
      </c>
      <c r="C7" s="146">
        <f>'All Data'!O6</f>
        <v>737014</v>
      </c>
      <c r="D7" s="147">
        <f>'All Data'!Q6</f>
        <v>0.07898513425127962</v>
      </c>
      <c r="E7" s="148">
        <f>'All Data'!R6</f>
        <v>12.7</v>
      </c>
      <c r="F7" s="149">
        <f>'All Data'!S6</f>
        <v>4</v>
      </c>
      <c r="G7" s="149">
        <f>'All Data'!T6</f>
        <v>21</v>
      </c>
      <c r="H7" s="147">
        <f>'All Data'!U6</f>
        <v>0.058021729630331455</v>
      </c>
      <c r="I7" s="149">
        <f>'All Data'!V6</f>
        <v>17.3</v>
      </c>
      <c r="J7" s="149">
        <f>'All Data'!W6</f>
        <v>3</v>
      </c>
      <c r="K7" s="152">
        <f>'All Data'!BH6</f>
        <v>12702379</v>
      </c>
      <c r="L7" s="146">
        <f>'All Data'!AJ6</f>
        <v>9331047</v>
      </c>
      <c r="M7" s="146" t="str">
        <f>'All Data'!I6</f>
        <v>Link</v>
      </c>
      <c r="N7" s="145" t="str">
        <f>IF('All Data'!AR6="","",'All Data'!AR6)</f>
        <v>http://www.portal.state.pa.us/portal/server.pt?open=512&amp;objID=4451&amp;&amp;PageID=462425&amp;level=2&amp;css=L2&amp;mode=2</v>
      </c>
    </row>
    <row r="8" spans="1:14" ht="12.75">
      <c r="A8" s="151" t="str">
        <f>'All Data'!B7</f>
        <v>Shall Issue</v>
      </c>
      <c r="B8" s="151" t="str">
        <f>'All Data'!C7</f>
        <v>Idaho</v>
      </c>
      <c r="C8" s="146">
        <f>'All Data'!O7</f>
        <v>77679</v>
      </c>
      <c r="D8" s="147">
        <f>'All Data'!Q7</f>
        <v>0.07259061561708892</v>
      </c>
      <c r="E8" s="148">
        <f>'All Data'!R7</f>
        <v>13.799999999999999</v>
      </c>
      <c r="F8" s="149">
        <f>'All Data'!S7</f>
        <v>5</v>
      </c>
      <c r="G8" s="149">
        <f>'All Data'!T7</f>
        <v>21</v>
      </c>
      <c r="H8" s="147">
        <f>'All Data'!U7</f>
        <v>0.04955338859466363</v>
      </c>
      <c r="I8" s="149">
        <f>'All Data'!V7</f>
        <v>20.200000000000003</v>
      </c>
      <c r="J8" s="149">
        <f>'All Data'!W7</f>
        <v>6</v>
      </c>
      <c r="K8" s="152">
        <f>'All Data'!BH7</f>
        <v>1567582</v>
      </c>
      <c r="L8" s="146">
        <f>'All Data'!AJ7</f>
        <v>1070097</v>
      </c>
      <c r="M8" s="146" t="str">
        <f>'All Data'!I7</f>
        <v>Email</v>
      </c>
      <c r="N8" s="145" t="str">
        <f>IF('All Data'!AR7="","",'All Data'!AR7)</f>
        <v>http://www.isp.idaho.gov/identification/</v>
      </c>
    </row>
    <row r="9" spans="1:14" ht="24">
      <c r="A9" s="151" t="str">
        <f>'All Data'!B8</f>
        <v>Shall Issue</v>
      </c>
      <c r="B9" s="151" t="str">
        <f>'All Data'!C8</f>
        <v>Tennessee</v>
      </c>
      <c r="C9" s="146">
        <f>'All Data'!O8</f>
        <v>317001</v>
      </c>
      <c r="D9" s="147">
        <f>'All Data'!Q8</f>
        <v>0.07023227517486993</v>
      </c>
      <c r="E9" s="148">
        <f>'All Data'!R8</f>
        <v>14.299999999999999</v>
      </c>
      <c r="F9" s="149">
        <f>'All Data'!S8</f>
        <v>6</v>
      </c>
      <c r="G9" s="149">
        <f>'All Data'!T8</f>
        <v>21</v>
      </c>
      <c r="H9" s="147">
        <f>'All Data'!U8</f>
        <v>0.049952057206743346</v>
      </c>
      <c r="I9" s="149">
        <f>'All Data'!V8</f>
        <v>20.1</v>
      </c>
      <c r="J9" s="149">
        <f>'All Data'!W8</f>
        <v>5</v>
      </c>
      <c r="K9" s="152">
        <f>'All Data'!BH8</f>
        <v>6346105</v>
      </c>
      <c r="L9" s="146">
        <f>'All Data'!AJ8</f>
        <v>4513608.582531401</v>
      </c>
      <c r="M9" s="146" t="str">
        <f>'All Data'!I8</f>
        <v>Link</v>
      </c>
      <c r="N9" s="145" t="str">
        <f>IF('All Data'!AR8="","",'All Data'!AR8)</f>
        <v>http://www.tn.gov/safety/stats/DL_Handgun/Handgun/HandgunCarryPermitswithPercentChange.pdf</v>
      </c>
    </row>
    <row r="10" spans="1:14" ht="12.75">
      <c r="A10" s="151" t="str">
        <f>'All Data'!B9</f>
        <v>Shall Issue</v>
      </c>
      <c r="B10" s="151" t="str">
        <f>'All Data'!C9</f>
        <v>Washington</v>
      </c>
      <c r="C10" s="146">
        <f>'All Data'!O9</f>
        <v>329153.944</v>
      </c>
      <c r="D10" s="147">
        <f>'All Data'!Q9</f>
        <v>0.06771935985140805</v>
      </c>
      <c r="E10" s="148">
        <f>'All Data'!R9</f>
        <v>14.799999999999999</v>
      </c>
      <c r="F10" s="149">
        <f>'All Data'!S9</f>
        <v>7</v>
      </c>
      <c r="G10" s="149">
        <f>'All Data'!T9</f>
        <v>21</v>
      </c>
      <c r="H10" s="147">
        <f>'All Data'!U9</f>
        <v>0.04894817251440248</v>
      </c>
      <c r="I10" s="149">
        <f>'All Data'!V9</f>
        <v>20.5</v>
      </c>
      <c r="J10" s="149">
        <f>'All Data'!W9</f>
        <v>7</v>
      </c>
      <c r="K10" s="152">
        <f>'All Data'!BH9</f>
        <v>6724540</v>
      </c>
      <c r="L10" s="146">
        <f>'All Data'!AJ9</f>
        <v>4860559</v>
      </c>
      <c r="M10" s="146" t="str">
        <f>'All Data'!I9</f>
        <v>Email</v>
      </c>
      <c r="N10" s="145" t="str">
        <f>IF('All Data'!AR9="","",'All Data'!AR9)</f>
        <v>http://www.dol.wa.gov/ppu/firfront.htm</v>
      </c>
    </row>
    <row r="11" spans="1:14" ht="12.75">
      <c r="A11" s="151" t="str">
        <f>'All Data'!B10</f>
        <v>Shall Issue</v>
      </c>
      <c r="B11" s="151" t="str">
        <f>'All Data'!C10</f>
        <v>Indiana</v>
      </c>
      <c r="C11" s="146">
        <f>'All Data'!O10</f>
        <v>311657</v>
      </c>
      <c r="D11" s="147">
        <f>'All Data'!Q10</f>
        <v>0.06392303236752549</v>
      </c>
      <c r="E11" s="148">
        <f>'All Data'!R10</f>
        <v>15.7</v>
      </c>
      <c r="F11" s="149">
        <f>'All Data'!S10</f>
        <v>8</v>
      </c>
      <c r="G11" s="149">
        <f>'All Data'!T10</f>
        <v>18</v>
      </c>
      <c r="H11" s="147">
        <f>'All Data'!U10</f>
        <v>0.048067013767539475</v>
      </c>
      <c r="I11" s="149">
        <f>'All Data'!V10</f>
        <v>20.900000000000002</v>
      </c>
      <c r="J11" s="149">
        <f>'All Data'!W10</f>
        <v>8</v>
      </c>
      <c r="K11" s="152">
        <f>'All Data'!BH10</f>
        <v>6483802</v>
      </c>
      <c r="L11" s="146">
        <f>'All Data'!AJ10</f>
        <v>4875504</v>
      </c>
      <c r="M11" s="146">
        <f>'All Data'!I10</f>
      </c>
      <c r="N11" s="145">
        <f>IF('All Data'!AR10="","",'All Data'!AR10)</f>
      </c>
    </row>
    <row r="12" spans="1:14" ht="12.75">
      <c r="A12" s="151" t="str">
        <f>'All Data'!B11</f>
        <v>True RTC</v>
      </c>
      <c r="B12" s="151" t="str">
        <f>'All Data'!C11</f>
        <v>Wyoming</v>
      </c>
      <c r="C12" s="146">
        <f>'All Data'!O11</f>
        <v>22943</v>
      </c>
      <c r="D12" s="147">
        <f>'All Data'!Q11</f>
        <v>0.05682673826460856</v>
      </c>
      <c r="E12" s="148">
        <f>'All Data'!R11</f>
        <v>17.6</v>
      </c>
      <c r="F12" s="149">
        <f>'All Data'!S11</f>
        <v>9</v>
      </c>
      <c r="G12" s="149">
        <f>'All Data'!T11</f>
        <v>21</v>
      </c>
      <c r="H12" s="147">
        <f>'All Data'!U11</f>
        <v>0.0407060710471128</v>
      </c>
      <c r="I12" s="149">
        <f>'All Data'!V11</f>
        <v>24.6</v>
      </c>
      <c r="J12" s="149">
        <f>'All Data'!W11</f>
        <v>10</v>
      </c>
      <c r="K12" s="152">
        <f>'All Data'!BH11</f>
        <v>563626</v>
      </c>
      <c r="L12" s="146">
        <f>'All Data'!AJ11</f>
        <v>403736</v>
      </c>
      <c r="M12" s="146" t="str">
        <f>'All Data'!I11</f>
        <v>Email</v>
      </c>
      <c r="N12" s="145" t="str">
        <f>IF('All Data'!AR11="","",'All Data'!AR11)</f>
        <v>http://attorneygeneral.state.wy.us/dci/index.html</v>
      </c>
    </row>
    <row r="13" spans="1:14" ht="12.75">
      <c r="A13" s="151" t="str">
        <f>'All Data'!B12</f>
        <v>Shall Issue</v>
      </c>
      <c r="B13" s="151" t="str">
        <f>'All Data'!C12</f>
        <v>Florida</v>
      </c>
      <c r="C13" s="146">
        <f>'All Data'!O12</f>
        <v>749741</v>
      </c>
      <c r="D13" s="147">
        <f>'All Data'!Q12</f>
        <v>0.05430382989918976</v>
      </c>
      <c r="E13" s="148">
        <f>'All Data'!R12</f>
        <v>18.5</v>
      </c>
      <c r="F13" s="149">
        <f>'All Data'!S12</f>
        <v>10</v>
      </c>
      <c r="G13" s="149">
        <f>'All Data'!T12</f>
        <v>21</v>
      </c>
      <c r="H13" s="147">
        <f>'All Data'!U12</f>
        <v>0.039877061757930696</v>
      </c>
      <c r="I13" s="149">
        <f>'All Data'!V12</f>
        <v>25.1</v>
      </c>
      <c r="J13" s="149">
        <f>'All Data'!W12</f>
        <v>11</v>
      </c>
      <c r="K13" s="152">
        <f>'All Data'!BH12</f>
        <v>18801310</v>
      </c>
      <c r="L13" s="146">
        <f>'All Data'!AJ12</f>
        <v>13806411.101976188</v>
      </c>
      <c r="M13" s="146" t="str">
        <f>'All Data'!I12</f>
        <v>Link</v>
      </c>
      <c r="N13" s="145" t="str">
        <f>IF('All Data'!AR12="","",'All Data'!AR12)</f>
        <v>http://licgweb.doacs.state.fl.us/stats/cw_active.html</v>
      </c>
    </row>
    <row r="14" spans="1:14" ht="12.75">
      <c r="A14" s="151" t="str">
        <f>'All Data'!B13</f>
        <v>Shall Issue</v>
      </c>
      <c r="B14" s="151" t="str">
        <f>'All Data'!C13</f>
        <v>Arkansas</v>
      </c>
      <c r="C14" s="146">
        <f>'All Data'!O13</f>
        <v>104615</v>
      </c>
      <c r="D14" s="147">
        <f>'All Data'!Q13</f>
        <v>0.051199012568985736</v>
      </c>
      <c r="E14" s="148">
        <f>'All Data'!R13</f>
        <v>19.6</v>
      </c>
      <c r="F14" s="149">
        <f>'All Data'!S13</f>
        <v>11</v>
      </c>
      <c r="G14" s="149">
        <f>'All Data'!T13</f>
        <v>21</v>
      </c>
      <c r="H14" s="147">
        <f>'All Data'!U13</f>
        <v>0.03587720916706163</v>
      </c>
      <c r="I14" s="149">
        <f>'All Data'!V13</f>
        <v>27.900000000000002</v>
      </c>
      <c r="J14" s="149">
        <f>'All Data'!W13</f>
        <v>13</v>
      </c>
      <c r="K14" s="152">
        <f>'All Data'!BH13</f>
        <v>2915918</v>
      </c>
      <c r="L14" s="146">
        <f>'All Data'!AJ13</f>
        <v>2043301.1253691928</v>
      </c>
      <c r="M14" s="146" t="str">
        <f>'All Data'!I13</f>
        <v>Email</v>
      </c>
      <c r="N14" s="145" t="str">
        <f>IF('All Data'!AR13="","",'All Data'!AR13)</f>
        <v>http://www.asp.state.ar.us/divisions/rs/rs_chl.html</v>
      </c>
    </row>
    <row r="15" spans="1:14" ht="12.75">
      <c r="A15" s="151" t="str">
        <f>'All Data'!B14</f>
        <v>Shall Issue</v>
      </c>
      <c r="B15" s="151" t="str">
        <f>'All Data'!C14</f>
        <v>Connecticut</v>
      </c>
      <c r="C15" s="146">
        <f>'All Data'!O14</f>
        <v>130616</v>
      </c>
      <c r="D15" s="147">
        <f>'All Data'!Q14</f>
        <v>0.05004095499854033</v>
      </c>
      <c r="E15" s="148">
        <f>'All Data'!R14</f>
        <v>20</v>
      </c>
      <c r="F15" s="149">
        <f>'All Data'!S14</f>
        <v>12</v>
      </c>
      <c r="G15" s="149">
        <f>'All Data'!T14</f>
        <v>21</v>
      </c>
      <c r="H15" s="147">
        <f>'All Data'!U14</f>
        <v>0.036545174907116396</v>
      </c>
      <c r="I15" s="149">
        <f>'All Data'!V14</f>
        <v>27.400000000000002</v>
      </c>
      <c r="J15" s="149">
        <f>'All Data'!W14</f>
        <v>12</v>
      </c>
      <c r="K15" s="152">
        <f>'All Data'!BH14</f>
        <v>3574097</v>
      </c>
      <c r="L15" s="146">
        <f>'All Data'!AJ14</f>
        <v>2610182</v>
      </c>
      <c r="M15" s="146">
        <f>'All Data'!I14</f>
      </c>
      <c r="N15" s="145">
        <f>IF('All Data'!AR14="","",'All Data'!AR14)</f>
      </c>
    </row>
    <row r="16" spans="1:14" ht="12.75">
      <c r="A16" s="151" t="str">
        <f>'All Data'!B15</f>
        <v>Shall Issue</v>
      </c>
      <c r="B16" s="151" t="str">
        <f>'All Data'!C15</f>
        <v>Kentucky</v>
      </c>
      <c r="C16" s="146">
        <f>'All Data'!O15</f>
        <v>153119</v>
      </c>
      <c r="D16" s="147">
        <f>'All Data'!Q15</f>
        <v>0.04889020864364865</v>
      </c>
      <c r="E16" s="148">
        <f>'All Data'!R15</f>
        <v>20.5</v>
      </c>
      <c r="F16" s="149">
        <f>'All Data'!S15</f>
        <v>13</v>
      </c>
      <c r="G16" s="149">
        <f>'All Data'!T15</f>
        <v>21</v>
      </c>
      <c r="H16" s="147">
        <f>'All Data'!U15</f>
        <v>0.035286022131799405</v>
      </c>
      <c r="I16" s="149">
        <f>'All Data'!V15</f>
        <v>28.400000000000002</v>
      </c>
      <c r="J16" s="149">
        <f>'All Data'!W15</f>
        <v>14</v>
      </c>
      <c r="K16" s="152">
        <f>'All Data'!BH15</f>
        <v>4339367</v>
      </c>
      <c r="L16" s="146">
        <f>'All Data'!AJ15</f>
        <v>3131895</v>
      </c>
      <c r="M16" s="146" t="str">
        <f>'All Data'!I15</f>
        <v>Link</v>
      </c>
      <c r="N16" s="145" t="str">
        <f>IF('All Data'!AR15="","",'All Data'!AR15)</f>
        <v>http://www.kentuckystatepolice.org/conceal.htm</v>
      </c>
    </row>
    <row r="17" spans="1:14" ht="12.75">
      <c r="A17" s="151" t="str">
        <f>'All Data'!B16</f>
        <v>Shall Issue</v>
      </c>
      <c r="B17" s="151" t="str">
        <f>'All Data'!C16</f>
        <v>West Virginia</v>
      </c>
      <c r="C17" s="146">
        <f>'All Data'!O16</f>
        <v>65065</v>
      </c>
      <c r="D17" s="147">
        <f>'All Data'!Q16</f>
        <v>0.04687990846655542</v>
      </c>
      <c r="E17" s="148">
        <f>'All Data'!R16</f>
        <v>21.400000000000002</v>
      </c>
      <c r="F17" s="149">
        <f>'All Data'!S16</f>
        <v>14</v>
      </c>
      <c r="G17" s="149">
        <f>'All Data'!T16</f>
        <v>21</v>
      </c>
      <c r="H17" s="147">
        <f>'All Data'!U16</f>
        <v>0.03511344343262849</v>
      </c>
      <c r="I17" s="149">
        <f>'All Data'!V16</f>
        <v>28.5</v>
      </c>
      <c r="J17" s="149">
        <f>'All Data'!W16</f>
        <v>15</v>
      </c>
      <c r="K17" s="152">
        <f>'All Data'!BH16</f>
        <v>1852994</v>
      </c>
      <c r="L17" s="146">
        <f>'All Data'!AJ16</f>
        <v>1387908</v>
      </c>
      <c r="M17" s="146" t="str">
        <f>'All Data'!I16</f>
        <v>Email</v>
      </c>
      <c r="N17" s="145" t="str">
        <f>IF('All Data'!AR16="","",'All Data'!AR16)</f>
        <v>http://www.wvstatepolice.com/</v>
      </c>
    </row>
    <row r="18" spans="1:14" ht="12.75">
      <c r="A18" s="151" t="str">
        <f>'All Data'!B17</f>
        <v>True RTC</v>
      </c>
      <c r="B18" s="151" t="str">
        <f>'All Data'!C17</f>
        <v>Alaska</v>
      </c>
      <c r="C18" s="146">
        <f>'All Data'!O17</f>
        <v>20868.793978614</v>
      </c>
      <c r="D18" s="147">
        <f>'All Data'!Q17</f>
        <v>0.04243668998809183</v>
      </c>
      <c r="E18" s="148">
        <f>'All Data'!R17</f>
        <v>23.6</v>
      </c>
      <c r="F18" s="149">
        <f>'All Data'!S17</f>
        <v>15</v>
      </c>
      <c r="G18" s="149">
        <f>'All Data'!T17</f>
        <v>21</v>
      </c>
      <c r="H18" s="147">
        <f>'All Data'!U17</f>
        <v>0.0293831077193392</v>
      </c>
      <c r="I18" s="149">
        <f>'All Data'!V17</f>
        <v>34.1</v>
      </c>
      <c r="J18" s="149">
        <f>'All Data'!W17</f>
        <v>18</v>
      </c>
      <c r="K18" s="152">
        <f>'All Data'!BH17</f>
        <v>710231</v>
      </c>
      <c r="L18" s="146">
        <f>'All Data'!AJ17</f>
        <v>491762.99999999994</v>
      </c>
      <c r="M18" s="146">
        <f>'All Data'!I17</f>
      </c>
      <c r="N18" s="145">
        <f>IF('All Data'!AR17="","",'All Data'!AR17)</f>
      </c>
    </row>
    <row r="19" spans="1:14" ht="12.75">
      <c r="A19" s="151" t="str">
        <f>'All Data'!B18</f>
        <v>True RTC</v>
      </c>
      <c r="B19" s="151" t="str">
        <f>'All Data'!C18</f>
        <v>Vermont</v>
      </c>
      <c r="C19" s="146">
        <f>'All Data'!O18</f>
        <v>26554.37682983857</v>
      </c>
      <c r="D19" s="147">
        <f>'All Data'!Q18</f>
        <v>0.04243668998809183</v>
      </c>
      <c r="E19" s="148">
        <f>'All Data'!R18</f>
        <v>23.6</v>
      </c>
      <c r="F19" s="149">
        <f>'All Data'!S18</f>
        <v>15</v>
      </c>
      <c r="G19" s="149">
        <f>'All Data'!T18</f>
        <v>18</v>
      </c>
      <c r="H19" s="147">
        <f>'All Data'!U18</f>
        <v>0.04243668998809183</v>
      </c>
      <c r="I19" s="149">
        <f>'All Data'!V18</f>
        <v>23.6</v>
      </c>
      <c r="J19" s="149">
        <f>'All Data'!W18</f>
        <v>9</v>
      </c>
      <c r="K19" s="152">
        <f>'All Data'!BH18</f>
        <v>625741</v>
      </c>
      <c r="L19" s="146">
        <f>'All Data'!AJ18</f>
        <v>625741</v>
      </c>
      <c r="M19" s="146">
        <f>'All Data'!I18</f>
      </c>
      <c r="N19" s="145">
        <f>IF('All Data'!AR18="","",'All Data'!AR18)</f>
      </c>
    </row>
    <row r="20" spans="1:14" ht="12.75">
      <c r="A20" s="151" t="str">
        <f>'All Data'!B19</f>
        <v>Shall Issue</v>
      </c>
      <c r="B20" s="151" t="str">
        <f>'All Data'!C19</f>
        <v>Georgia</v>
      </c>
      <c r="C20" s="146">
        <f>'All Data'!O19</f>
        <v>286980.3651890403</v>
      </c>
      <c r="D20" s="147">
        <f>'All Data'!Q19</f>
        <v>0.04243668998809183</v>
      </c>
      <c r="E20" s="148">
        <f>'All Data'!R19</f>
        <v>23.6</v>
      </c>
      <c r="F20" s="149">
        <f>'All Data'!S19</f>
        <v>15</v>
      </c>
      <c r="G20" s="149">
        <f>'All Data'!T19</f>
        <v>21</v>
      </c>
      <c r="H20" s="147">
        <f>'All Data'!U19</f>
        <v>0.029623311775209157</v>
      </c>
      <c r="I20" s="149">
        <f>'All Data'!V19</f>
        <v>33.800000000000004</v>
      </c>
      <c r="J20" s="149">
        <f>'All Data'!W19</f>
        <v>17</v>
      </c>
      <c r="K20" s="152">
        <f>'All Data'!BH19</f>
        <v>9687653</v>
      </c>
      <c r="L20" s="146">
        <f>'All Data'!AJ19</f>
        <v>6762552.999999999</v>
      </c>
      <c r="M20" s="146">
        <f>'All Data'!I19</f>
      </c>
      <c r="N20" s="145">
        <f>IF('All Data'!AR19="","",'All Data'!AR19)</f>
      </c>
    </row>
    <row r="21" spans="1:14" ht="12.75">
      <c r="A21" s="151" t="str">
        <f>'All Data'!B20</f>
        <v>Shall Issue</v>
      </c>
      <c r="B21" s="151" t="str">
        <f>'All Data'!C20</f>
        <v>Virginia</v>
      </c>
      <c r="C21" s="146">
        <f>'All Data'!O20</f>
        <v>238395</v>
      </c>
      <c r="D21" s="147">
        <f>'All Data'!Q20</f>
        <v>0.041103337405821554</v>
      </c>
      <c r="E21" s="148">
        <f>'All Data'!R20</f>
        <v>24.400000000000002</v>
      </c>
      <c r="F21" s="149">
        <f>'All Data'!S20</f>
        <v>18</v>
      </c>
      <c r="G21" s="149">
        <f>'All Data'!T20</f>
        <v>21</v>
      </c>
      <c r="H21" s="147">
        <f>'All Data'!U20</f>
        <v>0.029795561168170476</v>
      </c>
      <c r="I21" s="149">
        <f>'All Data'!V20</f>
        <v>33.6</v>
      </c>
      <c r="J21" s="149">
        <f>'All Data'!W20</f>
        <v>16</v>
      </c>
      <c r="K21" s="152">
        <f>'All Data'!BH20</f>
        <v>8001024</v>
      </c>
      <c r="L21" s="146">
        <f>'All Data'!AJ20</f>
        <v>5799894</v>
      </c>
      <c r="M21" s="146" t="str">
        <f>'All Data'!I20</f>
        <v>Link</v>
      </c>
      <c r="N21" s="145" t="str">
        <f>IF('All Data'!AR20="","",'All Data'!AR20)</f>
        <v>http://www.vsp.state.va.us/Annual_Report.shtm</v>
      </c>
    </row>
    <row r="22" spans="1:14" ht="12.75">
      <c r="A22" s="151" t="str">
        <f>'All Data'!B21</f>
        <v>Shall Issue</v>
      </c>
      <c r="B22" s="151" t="str">
        <f>'All Data'!C21</f>
        <v>Oklahoma</v>
      </c>
      <c r="C22" s="146">
        <f>'All Data'!O21</f>
        <v>107264</v>
      </c>
      <c r="D22" s="147">
        <f>'All Data'!Q21</f>
        <v>0.04042095616151651</v>
      </c>
      <c r="E22" s="148">
        <f>'All Data'!R21</f>
        <v>24.8</v>
      </c>
      <c r="F22" s="149">
        <f>'All Data'!S21</f>
        <v>19</v>
      </c>
      <c r="G22" s="149">
        <f>'All Data'!T21</f>
        <v>21</v>
      </c>
      <c r="H22" s="147">
        <f>'All Data'!U21</f>
        <v>0.02859343207287188</v>
      </c>
      <c r="I22" s="149">
        <f>'All Data'!V21</f>
        <v>35</v>
      </c>
      <c r="J22" s="149">
        <f>'All Data'!W21</f>
        <v>19</v>
      </c>
      <c r="K22" s="152">
        <f>'All Data'!BH21</f>
        <v>3751351</v>
      </c>
      <c r="L22" s="146">
        <f>'All Data'!AJ21</f>
        <v>2653673</v>
      </c>
      <c r="M22" s="146" t="str">
        <f>'All Data'!I21</f>
        <v>Link</v>
      </c>
      <c r="N22" s="145" t="str">
        <f>IF('All Data'!AR21="","",'All Data'!AR21)</f>
        <v>http://www.ok.gov/osbi/Publications/SDA_Statistics.html</v>
      </c>
    </row>
    <row r="23" spans="1:14" ht="24">
      <c r="A23" s="151" t="str">
        <f>'All Data'!B22</f>
        <v>Shall Issue</v>
      </c>
      <c r="B23" s="151" t="str">
        <f>'All Data'!C22</f>
        <v>Michigan</v>
      </c>
      <c r="C23" s="146">
        <f>'All Data'!O22</f>
        <v>275978</v>
      </c>
      <c r="D23" s="147">
        <f>'All Data'!Q22</f>
        <v>0.04013636935411023</v>
      </c>
      <c r="E23" s="148">
        <f>'All Data'!R22</f>
        <v>25</v>
      </c>
      <c r="F23" s="149">
        <f>'All Data'!S22</f>
        <v>20</v>
      </c>
      <c r="G23" s="149">
        <f>'All Data'!T22</f>
        <v>21</v>
      </c>
      <c r="H23" s="147">
        <f>'All Data'!U22</f>
        <v>0.027922708637708373</v>
      </c>
      <c r="I23" s="149">
        <f>'All Data'!V22</f>
        <v>35.9</v>
      </c>
      <c r="J23" s="149">
        <f>'All Data'!W22</f>
        <v>20</v>
      </c>
      <c r="K23" s="152">
        <f>'All Data'!BH22</f>
        <v>9883640</v>
      </c>
      <c r="L23" s="146">
        <f>'All Data'!AJ22</f>
        <v>6876008.080480204</v>
      </c>
      <c r="M23" s="146" t="str">
        <f>'All Data'!I22</f>
        <v>Link</v>
      </c>
      <c r="N23" s="145" t="str">
        <f>IF('All Data'!AR22="","",'All Data'!AR22)</f>
        <v>http://www.michigan.gov/msp/0,1607,7-123-1591_3503_4654-77621--,00.html</v>
      </c>
    </row>
    <row r="24" spans="1:14" ht="12.75">
      <c r="A24" s="151" t="str">
        <f>'All Data'!B23</f>
        <v>Shall Issue</v>
      </c>
      <c r="B24" s="151" t="str">
        <f>'All Data'!C23</f>
        <v>South Carolina</v>
      </c>
      <c r="C24" s="146">
        <f>'All Data'!O23</f>
        <v>119340</v>
      </c>
      <c r="D24" s="147">
        <f>'All Data'!Q23</f>
        <v>0.03678392179975883</v>
      </c>
      <c r="E24" s="148">
        <f>'All Data'!R23</f>
        <v>27.200000000000003</v>
      </c>
      <c r="F24" s="149">
        <f>'All Data'!S23</f>
        <v>21</v>
      </c>
      <c r="G24" s="149">
        <f>'All Data'!T23</f>
        <v>21</v>
      </c>
      <c r="H24" s="147">
        <f>'All Data'!U23</f>
        <v>0.025801212618077194</v>
      </c>
      <c r="I24" s="149">
        <f>'All Data'!V23</f>
        <v>38.800000000000004</v>
      </c>
      <c r="J24" s="149">
        <f>'All Data'!W23</f>
        <v>22</v>
      </c>
      <c r="K24" s="152">
        <f>'All Data'!BH23</f>
        <v>4625364</v>
      </c>
      <c r="L24" s="146">
        <f>'All Data'!AJ23</f>
        <v>3244352.2648197464</v>
      </c>
      <c r="M24" s="146" t="str">
        <f>'All Data'!I23</f>
        <v>Link</v>
      </c>
      <c r="N24" s="145" t="str">
        <f>IF('All Data'!AR23="","",'All Data'!AR23)</f>
        <v>http://www.sled.sc.gov/documents/CWP/SCCWPCalendarYear2010.pdf</v>
      </c>
    </row>
    <row r="25" spans="1:14" ht="12.75">
      <c r="A25" s="151" t="str">
        <f>'All Data'!B24</f>
        <v>True RTC</v>
      </c>
      <c r="B25" s="151" t="str">
        <f>'All Data'!C24</f>
        <v>Arizona</v>
      </c>
      <c r="C25" s="146">
        <f>'All Data'!O24</f>
        <v>162508</v>
      </c>
      <c r="D25" s="147">
        <f>'All Data'!Q24</f>
        <v>0.0362852843063265</v>
      </c>
      <c r="E25" s="148">
        <f>'All Data'!R24</f>
        <v>27.6</v>
      </c>
      <c r="F25" s="149">
        <f>'All Data'!S24</f>
        <v>22</v>
      </c>
      <c r="G25" s="149">
        <f>'All Data'!T24</f>
        <v>21</v>
      </c>
      <c r="H25" s="147">
        <f>'All Data'!U24</f>
        <v>0.025423586952287518</v>
      </c>
      <c r="I25" s="149">
        <f>'All Data'!V24</f>
        <v>39.4</v>
      </c>
      <c r="J25" s="149">
        <f>'All Data'!W24</f>
        <v>24</v>
      </c>
      <c r="K25" s="152">
        <f>'All Data'!BH24</f>
        <v>6392017</v>
      </c>
      <c r="L25" s="146">
        <f>'All Data'!AJ24</f>
        <v>4478620</v>
      </c>
      <c r="M25" s="146" t="str">
        <f>'All Data'!I24</f>
        <v>Link</v>
      </c>
      <c r="N25" s="145" t="str">
        <f>IF('All Data'!AR24="","",'All Data'!AR24)</f>
        <v>http://ccw.azdps.gov/</v>
      </c>
    </row>
    <row r="26" spans="1:14" ht="12.75">
      <c r="A26" s="151" t="str">
        <f>'All Data'!B25</f>
        <v>Shall Issue</v>
      </c>
      <c r="B26" s="151" t="str">
        <f>'All Data'!C25</f>
        <v>Oregon</v>
      </c>
      <c r="C26" s="146">
        <f>'All Data'!O25</f>
        <v>97492</v>
      </c>
      <c r="D26" s="147">
        <f>'All Data'!Q25</f>
        <v>0.03473880864258458</v>
      </c>
      <c r="E26" s="148">
        <f>'All Data'!R25</f>
        <v>28.8</v>
      </c>
      <c r="F26" s="149">
        <f>'All Data'!S25</f>
        <v>23</v>
      </c>
      <c r="G26" s="149">
        <f>'All Data'!T25</f>
        <v>21</v>
      </c>
      <c r="H26" s="147">
        <f>'All Data'!U25</f>
        <v>0.025447694301911163</v>
      </c>
      <c r="I26" s="149">
        <f>'All Data'!V25</f>
        <v>39.300000000000004</v>
      </c>
      <c r="J26" s="149">
        <f>'All Data'!W25</f>
        <v>23</v>
      </c>
      <c r="K26" s="152">
        <f>'All Data'!BH25</f>
        <v>3831074</v>
      </c>
      <c r="L26" s="146">
        <f>'All Data'!AJ25</f>
        <v>2806429</v>
      </c>
      <c r="M26" s="146">
        <f>'All Data'!I25</f>
      </c>
      <c r="N26" s="145">
        <f>IF('All Data'!AR25="","",'All Data'!AR25)</f>
      </c>
    </row>
    <row r="27" spans="1:14" ht="12.75">
      <c r="A27" s="151" t="str">
        <f>'All Data'!B26</f>
        <v>Shall Issue</v>
      </c>
      <c r="B27" s="151" t="str">
        <f>'All Data'!C26</f>
        <v>Montana</v>
      </c>
      <c r="C27" s="146">
        <f>'All Data'!O26</f>
        <v>26539</v>
      </c>
      <c r="D27" s="147">
        <f>'All Data'!Q26</f>
        <v>0.03465290943942172</v>
      </c>
      <c r="E27" s="148">
        <f>'All Data'!R26</f>
        <v>28.900000000000002</v>
      </c>
      <c r="F27" s="149">
        <f>'All Data'!S26</f>
        <v>24</v>
      </c>
      <c r="G27" s="149">
        <f>'All Data'!T26</f>
        <v>18</v>
      </c>
      <c r="H27" s="147">
        <f>'All Data'!U26</f>
        <v>0.02682292061470667</v>
      </c>
      <c r="I27" s="149">
        <f>'All Data'!V26</f>
        <v>37.300000000000004</v>
      </c>
      <c r="J27" s="149">
        <f>'All Data'!W26</f>
        <v>21</v>
      </c>
      <c r="K27" s="152">
        <f>'All Data'!BH26</f>
        <v>989415</v>
      </c>
      <c r="L27" s="146">
        <f>'All Data'!AJ26</f>
        <v>765852</v>
      </c>
      <c r="M27" s="146" t="str">
        <f>'All Data'!I26</f>
        <v>Email</v>
      </c>
      <c r="N27" s="145" t="str">
        <f>IF('All Data'!AR26="","",'All Data'!AR26)</f>
        <v>http://www.doj.mt.gov/enforcement/criminaljustice/concealedweapons.asp</v>
      </c>
    </row>
    <row r="28" spans="1:14" ht="12.75">
      <c r="A28" s="151" t="str">
        <f>'All Data'!B27</f>
        <v>Shall Issue</v>
      </c>
      <c r="B28" s="151" t="str">
        <f>'All Data'!C27</f>
        <v>Missouri</v>
      </c>
      <c r="C28" s="146">
        <f>'All Data'!O27</f>
        <v>136528</v>
      </c>
      <c r="D28" s="147">
        <f>'All Data'!Q27</f>
        <v>0.03300497100388751</v>
      </c>
      <c r="E28" s="148">
        <f>'All Data'!R27</f>
        <v>30.3</v>
      </c>
      <c r="F28" s="149">
        <f>'All Data'!S27</f>
        <v>25</v>
      </c>
      <c r="G28" s="149">
        <f>'All Data'!T27</f>
        <v>23</v>
      </c>
      <c r="H28" s="147">
        <f>'All Data'!U27</f>
        <v>0.02279673804673191</v>
      </c>
      <c r="I28" s="149">
        <f>'All Data'!V27</f>
        <v>43.9</v>
      </c>
      <c r="J28" s="149">
        <f>'All Data'!W27</f>
        <v>26</v>
      </c>
      <c r="K28" s="152">
        <f>'All Data'!BH27</f>
        <v>5988927</v>
      </c>
      <c r="L28" s="146">
        <f>'All Data'!AJ27</f>
        <v>4136588.9999999995</v>
      </c>
      <c r="M28" s="146" t="str">
        <f>'All Data'!I27</f>
        <v>Link</v>
      </c>
      <c r="N28" s="145" t="str">
        <f>IF('All Data'!AR27="","",'All Data'!AR27)</f>
        <v>http://dor.mo.gov/publicreports/</v>
      </c>
    </row>
    <row r="29" spans="1:14" ht="12.75">
      <c r="A29" s="151" t="str">
        <f>'All Data'!B28</f>
        <v>Shall Issue</v>
      </c>
      <c r="B29" s="151" t="str">
        <f>'All Data'!C28</f>
        <v>Iowa</v>
      </c>
      <c r="C29" s="146">
        <f>'All Data'!O28</f>
        <v>73399</v>
      </c>
      <c r="D29" s="147">
        <f>'All Data'!Q28</f>
        <v>0.03165985294790028</v>
      </c>
      <c r="E29" s="148">
        <f>'All Data'!R28</f>
        <v>31.6</v>
      </c>
      <c r="F29" s="149">
        <f>'All Data'!S28</f>
        <v>26</v>
      </c>
      <c r="G29" s="149">
        <f>'All Data'!T28</f>
        <v>18</v>
      </c>
      <c r="H29" s="147">
        <f>'All Data'!U28</f>
        <v>0.024094040254665</v>
      </c>
      <c r="I29" s="149">
        <f>'All Data'!V28</f>
        <v>41.6</v>
      </c>
      <c r="J29" s="149">
        <f>'All Data'!W28</f>
        <v>25</v>
      </c>
      <c r="K29" s="152">
        <f>'All Data'!BH28</f>
        <v>3046355</v>
      </c>
      <c r="L29" s="146">
        <f>'All Data'!AJ28</f>
        <v>2318362</v>
      </c>
      <c r="M29" s="146" t="str">
        <f>'All Data'!I28</f>
        <v>Email</v>
      </c>
      <c r="N29" s="145" t="str">
        <f>IF('All Data'!AR28="","",'All Data'!AR28)</f>
        <v>http://www.dps.state.ia.us/</v>
      </c>
    </row>
    <row r="30" spans="1:14" ht="12.75">
      <c r="A30" s="151" t="str">
        <f>'All Data'!B29</f>
        <v>Shall Issue</v>
      </c>
      <c r="B30" s="151" t="str">
        <f>'All Data'!C29</f>
        <v>Alabama</v>
      </c>
      <c r="C30" s="146">
        <f>'All Data'!O29</f>
        <v>105869</v>
      </c>
      <c r="D30" s="147">
        <f>'All Data'!Q29</f>
        <v>0.029026860312501627</v>
      </c>
      <c r="E30" s="148">
        <f>'All Data'!R29</f>
        <v>34.5</v>
      </c>
      <c r="F30" s="149">
        <f>'All Data'!S29</f>
        <v>27</v>
      </c>
      <c r="G30" s="149">
        <f>'All Data'!T29</f>
        <v>18</v>
      </c>
      <c r="H30" s="147">
        <f>'All Data'!U29</f>
        <v>0.022149549682241865</v>
      </c>
      <c r="I30" s="149">
        <f>'All Data'!V29</f>
        <v>45.2</v>
      </c>
      <c r="J30" s="149">
        <f>'All Data'!W29</f>
        <v>27</v>
      </c>
      <c r="K30" s="152">
        <f>'All Data'!BH29</f>
        <v>4779736</v>
      </c>
      <c r="L30" s="146">
        <f>'All Data'!AJ29</f>
        <v>3647277</v>
      </c>
      <c r="M30" s="146">
        <f>'All Data'!I29</f>
      </c>
      <c r="N30" s="145">
        <f>IF('All Data'!AR29="","",'All Data'!AR29)</f>
      </c>
    </row>
    <row r="31" spans="1:14" ht="12.75">
      <c r="A31" s="151" t="str">
        <f>'All Data'!B30</f>
        <v>Shall Issue</v>
      </c>
      <c r="B31" s="151" t="str">
        <f>'All Data'!C30</f>
        <v>North Carolina</v>
      </c>
      <c r="C31" s="146">
        <f>'All Data'!O30</f>
        <v>195553</v>
      </c>
      <c r="D31" s="147">
        <f>'All Data'!Q30</f>
        <v>0.0286074912002776</v>
      </c>
      <c r="E31" s="148">
        <f>'All Data'!R30</f>
        <v>35</v>
      </c>
      <c r="F31" s="149">
        <f>'All Data'!S30</f>
        <v>28</v>
      </c>
      <c r="G31" s="149">
        <f>'All Data'!T30</f>
        <v>21</v>
      </c>
      <c r="H31" s="147">
        <f>'All Data'!U30</f>
        <v>0.020507928124878415</v>
      </c>
      <c r="I31" s="149">
        <f>'All Data'!V30</f>
        <v>48.800000000000004</v>
      </c>
      <c r="J31" s="149">
        <f>'All Data'!W30</f>
        <v>28</v>
      </c>
      <c r="K31" s="152">
        <f>'All Data'!BH30</f>
        <v>9535483</v>
      </c>
      <c r="L31" s="146">
        <f>'All Data'!AJ30</f>
        <v>6835727</v>
      </c>
      <c r="M31" s="146" t="str">
        <f>'All Data'!I30</f>
        <v>Link</v>
      </c>
      <c r="N31" s="145" t="str">
        <f>IF('All Data'!AR30="","",'All Data'!AR30)</f>
        <v>http://sbi2.jus.state.nc.us/crp/public/Default.htm</v>
      </c>
    </row>
    <row r="32" spans="1:14" ht="12.75">
      <c r="A32" s="151" t="str">
        <f>'All Data'!B31</f>
        <v>Shall Issue</v>
      </c>
      <c r="B32" s="151" t="str">
        <f>'All Data'!C31</f>
        <v>Ohio</v>
      </c>
      <c r="C32" s="146">
        <f>'All Data'!O31</f>
        <v>236481</v>
      </c>
      <c r="D32" s="147">
        <f>'All Data'!Q31</f>
        <v>0.02847318946534974</v>
      </c>
      <c r="E32" s="148">
        <f>'All Data'!R31</f>
        <v>35.2</v>
      </c>
      <c r="F32" s="149">
        <f>'All Data'!S31</f>
        <v>29</v>
      </c>
      <c r="G32" s="149">
        <f>'All Data'!T31</f>
        <v>21</v>
      </c>
      <c r="H32" s="147">
        <f>'All Data'!U31</f>
        <v>0.020498497638452687</v>
      </c>
      <c r="I32" s="149">
        <f>'All Data'!V31</f>
        <v>48.800000000000004</v>
      </c>
      <c r="J32" s="149">
        <f>'All Data'!W31</f>
        <v>29</v>
      </c>
      <c r="K32" s="152">
        <f>'All Data'!BH31</f>
        <v>11536504</v>
      </c>
      <c r="L32" s="146">
        <f>'All Data'!AJ31</f>
        <v>8305391.999999999</v>
      </c>
      <c r="M32" s="146" t="str">
        <f>'All Data'!I31</f>
        <v>Link</v>
      </c>
      <c r="N32" s="145" t="str">
        <f>IF('All Data'!AR31="","",'All Data'!AR31)</f>
        <v>http://www.ohioattorneygeneral.gov/2010CCWReport</v>
      </c>
    </row>
    <row r="33" spans="1:14" ht="24">
      <c r="A33" s="151" t="str">
        <f>'All Data'!B32</f>
        <v>Shall Issue</v>
      </c>
      <c r="B33" s="151" t="str">
        <f>'All Data'!C32</f>
        <v>Texas</v>
      </c>
      <c r="C33" s="146">
        <f>'All Data'!O32</f>
        <v>461724</v>
      </c>
      <c r="D33" s="147">
        <f>'All Data'!Q32</f>
        <v>0.0273840503329825</v>
      </c>
      <c r="E33" s="148">
        <f>'All Data'!R32</f>
        <v>36.6</v>
      </c>
      <c r="F33" s="149">
        <f>'All Data'!S32</f>
        <v>30</v>
      </c>
      <c r="G33" s="149">
        <f>'All Data'!T32</f>
        <v>21</v>
      </c>
      <c r="H33" s="147">
        <f>'All Data'!U32</f>
        <v>0.018362048076795742</v>
      </c>
      <c r="I33" s="149">
        <f>'All Data'!V32</f>
        <v>54.5</v>
      </c>
      <c r="J33" s="149">
        <f>'All Data'!W32</f>
        <v>30</v>
      </c>
      <c r="K33" s="152">
        <f>'All Data'!BH32</f>
        <v>25145561</v>
      </c>
      <c r="L33" s="146">
        <f>'All Data'!AJ32</f>
        <v>16861055.774641205</v>
      </c>
      <c r="M33" s="146" t="str">
        <f>'All Data'!I32</f>
        <v>Link</v>
      </c>
      <c r="N33" s="145" t="str">
        <f>IF('All Data'!AR32="","",'All Data'!AR32)</f>
        <v>http://www.txdps.state.tx.us/administration/crime_records/chl/demographics.htm</v>
      </c>
    </row>
    <row r="34" spans="1:14" ht="12.75">
      <c r="A34" s="151" t="str">
        <f>'All Data'!B33</f>
        <v>Shall Issue</v>
      </c>
      <c r="B34" s="151" t="str">
        <f>'All Data'!C33</f>
        <v>North Dakota</v>
      </c>
      <c r="C34" s="146">
        <f>'All Data'!O33</f>
        <v>12111</v>
      </c>
      <c r="D34" s="147">
        <f>'All Data'!Q33</f>
        <v>0.02316919191919192</v>
      </c>
      <c r="E34" s="148">
        <f>'All Data'!R33</f>
        <v>43.2</v>
      </c>
      <c r="F34" s="149">
        <f>'All Data'!S33</f>
        <v>31</v>
      </c>
      <c r="G34" s="149">
        <f>'All Data'!T33</f>
        <v>18</v>
      </c>
      <c r="H34" s="147">
        <f>'All Data'!U33</f>
        <v>0.01800648536777923</v>
      </c>
      <c r="I34" s="149">
        <f>'All Data'!V33</f>
        <v>55.6</v>
      </c>
      <c r="J34" s="149">
        <f>'All Data'!W33</f>
        <v>32</v>
      </c>
      <c r="K34" s="152">
        <f>'All Data'!BH33</f>
        <v>672591</v>
      </c>
      <c r="L34" s="146">
        <f>'All Data'!AJ33</f>
        <v>522720</v>
      </c>
      <c r="M34" s="146" t="str">
        <f>'All Data'!I33</f>
        <v>Link</v>
      </c>
      <c r="N34" s="145" t="str">
        <f>IF('All Data'!AR33="","",'All Data'!AR33)</f>
        <v>http://www.ag.nd.gov/Reports/BiennialReports/BiennialReport07-09.pdf</v>
      </c>
    </row>
    <row r="35" spans="1:14" ht="12.75">
      <c r="A35" s="151" t="str">
        <f>'All Data'!B34</f>
        <v>Shall Issue</v>
      </c>
      <c r="B35" s="151" t="str">
        <f>'All Data'!C34</f>
        <v>Maine</v>
      </c>
      <c r="C35" s="146">
        <f>'All Data'!O34</f>
        <v>24000</v>
      </c>
      <c r="D35" s="147">
        <f>'All Data'!Q34</f>
        <v>0.02277454716608718</v>
      </c>
      <c r="E35" s="148">
        <f>'All Data'!R34</f>
        <v>44</v>
      </c>
      <c r="F35" s="149">
        <f>'All Data'!S34</f>
        <v>32</v>
      </c>
      <c r="G35" s="149">
        <f>'All Data'!T34</f>
        <v>18</v>
      </c>
      <c r="H35" s="147">
        <f>'All Data'!U34</f>
        <v>0.01806737776854334</v>
      </c>
      <c r="I35" s="149">
        <f>'All Data'!V34</f>
        <v>55.4</v>
      </c>
      <c r="J35" s="149">
        <f>'All Data'!W34</f>
        <v>31</v>
      </c>
      <c r="K35" s="152">
        <f>'All Data'!BH34</f>
        <v>1328361</v>
      </c>
      <c r="L35" s="146">
        <f>'All Data'!AJ34</f>
        <v>1053808</v>
      </c>
      <c r="M35" s="146">
        <f>'All Data'!I34</f>
      </c>
      <c r="N35" s="145">
        <f>IF('All Data'!AR34="","",'All Data'!AR34)</f>
      </c>
    </row>
    <row r="36" spans="1:14" ht="24">
      <c r="A36" s="151" t="str">
        <f>'All Data'!B35</f>
        <v>Shall Issue</v>
      </c>
      <c r="B36" s="151" t="str">
        <f>'All Data'!C35</f>
        <v>Minnesota</v>
      </c>
      <c r="C36" s="146">
        <f>'All Data'!O35</f>
        <v>79180</v>
      </c>
      <c r="D36" s="147">
        <f>'All Data'!Q35</f>
        <v>0.02083694080656172</v>
      </c>
      <c r="E36" s="148">
        <f>'All Data'!R35</f>
        <v>48</v>
      </c>
      <c r="F36" s="149">
        <f>'All Data'!S35</f>
        <v>33</v>
      </c>
      <c r="G36" s="149">
        <f>'All Data'!T35</f>
        <v>21</v>
      </c>
      <c r="H36" s="147">
        <f>'All Data'!U35</f>
        <v>0.014928567051758839</v>
      </c>
      <c r="I36" s="149">
        <f>'All Data'!V35</f>
        <v>67</v>
      </c>
      <c r="J36" s="149">
        <f>'All Data'!W35</f>
        <v>33</v>
      </c>
      <c r="K36" s="152">
        <f>'All Data'!BH35</f>
        <v>5303925</v>
      </c>
      <c r="L36" s="146">
        <f>'All Data'!AJ35</f>
        <v>3799981.9999999995</v>
      </c>
      <c r="M36" s="146" t="str">
        <f>'All Data'!I35</f>
        <v>Link</v>
      </c>
      <c r="N36" s="145" t="str">
        <f>IF('All Data'!AR35="","",'All Data'!AR35)</f>
        <v>https://dps.mn.gov/divisions/bca/bca-divisions/administrative/Documents/2010PTSReport.pdf</v>
      </c>
    </row>
    <row r="37" spans="1:14" ht="12.75">
      <c r="A37" s="151" t="str">
        <f>'All Data'!B36</f>
        <v>Shall Issue</v>
      </c>
      <c r="B37" s="151" t="str">
        <f>'All Data'!C36</f>
        <v>Colorado</v>
      </c>
      <c r="C37" s="146">
        <f>'All Data'!O36</f>
        <v>66038</v>
      </c>
      <c r="D37" s="147">
        <f>'All Data'!Q36</f>
        <v>0.01836905960306164</v>
      </c>
      <c r="E37" s="148">
        <f>'All Data'!R36</f>
        <v>54.5</v>
      </c>
      <c r="F37" s="149">
        <f>'All Data'!S36</f>
        <v>34</v>
      </c>
      <c r="G37" s="149">
        <f>'All Data'!T36</f>
        <v>21</v>
      </c>
      <c r="H37" s="147">
        <f>'All Data'!U36</f>
        <v>0.013130925897499321</v>
      </c>
      <c r="I37" s="149">
        <f>'All Data'!V36</f>
        <v>76.19999999999999</v>
      </c>
      <c r="J37" s="149">
        <f>'All Data'!W36</f>
        <v>34</v>
      </c>
      <c r="K37" s="152">
        <f>'All Data'!BH36</f>
        <v>5029196</v>
      </c>
      <c r="L37" s="146">
        <f>'All Data'!AJ36</f>
        <v>3595067</v>
      </c>
      <c r="M37" s="146" t="str">
        <f>'All Data'!I36</f>
        <v>Link</v>
      </c>
      <c r="N37" s="145" t="str">
        <f>IF('All Data'!AR36="","",'All Data'!AR36)</f>
        <v>http://www.csoc.org/magazine.asp</v>
      </c>
    </row>
    <row r="38" spans="1:14" ht="12.75">
      <c r="A38" s="151" t="str">
        <f>'All Data'!B37</f>
        <v>Shall Issue</v>
      </c>
      <c r="B38" s="151" t="str">
        <f>'All Data'!C37</f>
        <v>Kansas</v>
      </c>
      <c r="C38" s="146">
        <f>'All Data'!O37</f>
        <v>33769</v>
      </c>
      <c r="D38" s="147">
        <f>'All Data'!Q37</f>
        <v>0.01688689793950741</v>
      </c>
      <c r="E38" s="148">
        <f>'All Data'!R37</f>
        <v>59.300000000000004</v>
      </c>
      <c r="F38" s="149">
        <f>'All Data'!S37</f>
        <v>35</v>
      </c>
      <c r="G38" s="149">
        <f>'All Data'!T37</f>
        <v>21</v>
      </c>
      <c r="H38" s="147">
        <f>'All Data'!U37</f>
        <v>0.011835823124034828</v>
      </c>
      <c r="I38" s="149">
        <f>'All Data'!V37</f>
        <v>84.5</v>
      </c>
      <c r="J38" s="149">
        <f>'All Data'!W37</f>
        <v>35</v>
      </c>
      <c r="K38" s="152">
        <f>'All Data'!BH37</f>
        <v>2853118</v>
      </c>
      <c r="L38" s="146">
        <f>'All Data'!AJ37</f>
        <v>1999716</v>
      </c>
      <c r="M38" s="146" t="str">
        <f>'All Data'!I37</f>
        <v>Link</v>
      </c>
      <c r="N38" s="145" t="str">
        <f>IF('All Data'!AR37="","",'All Data'!AR37)</f>
        <v>http://www.ksag.org/page/concealed-carry</v>
      </c>
    </row>
    <row r="39" spans="1:14" ht="12.75">
      <c r="A39" s="151" t="str">
        <f>'All Data'!B38</f>
        <v>Shall Issue</v>
      </c>
      <c r="B39" s="151" t="str">
        <f>'All Data'!C38</f>
        <v>Louisiana</v>
      </c>
      <c r="C39" s="146">
        <f>'All Data'!O38</f>
        <v>37782</v>
      </c>
      <c r="D39" s="147">
        <f>'All Data'!Q38</f>
        <v>0.012296236042061124</v>
      </c>
      <c r="E39" s="148">
        <f>'All Data'!R38</f>
        <v>81.39999999999999</v>
      </c>
      <c r="F39" s="149">
        <f>'All Data'!S38</f>
        <v>36</v>
      </c>
      <c r="G39" s="149">
        <f>'All Data'!T38</f>
        <v>21</v>
      </c>
      <c r="H39" s="147">
        <f>'All Data'!U38</f>
        <v>0.00833419362011324</v>
      </c>
      <c r="I39" s="149">
        <f>'All Data'!V38</f>
        <v>120</v>
      </c>
      <c r="J39" s="149">
        <f>'All Data'!W38</f>
        <v>36</v>
      </c>
      <c r="K39" s="152">
        <f>'All Data'!BH38</f>
        <v>4533372</v>
      </c>
      <c r="L39" s="146">
        <f>'All Data'!AJ38</f>
        <v>3072647.5866892105</v>
      </c>
      <c r="M39" s="146" t="str">
        <f>'All Data'!I38</f>
        <v>Email</v>
      </c>
      <c r="N39" s="145" t="str">
        <f>IF('All Data'!AR38="","",'All Data'!AR38)</f>
        <v>http://www.lsp.org/handguns.html</v>
      </c>
    </row>
    <row r="40" spans="1:14" ht="12.75">
      <c r="A40" s="151" t="str">
        <f>'All Data'!B39</f>
        <v>Shall Issue</v>
      </c>
      <c r="B40" s="151" t="str">
        <f>'All Data'!C39</f>
        <v>Nevada</v>
      </c>
      <c r="C40" s="146">
        <f>'All Data'!O39</f>
        <v>18369</v>
      </c>
      <c r="D40" s="147">
        <f>'All Data'!Q39</f>
        <v>0.009524184813464622</v>
      </c>
      <c r="E40" s="148">
        <f>'All Data'!R39</f>
        <v>105</v>
      </c>
      <c r="F40" s="149">
        <f>'All Data'!S39</f>
        <v>37</v>
      </c>
      <c r="G40" s="149">
        <f>'All Data'!T39</f>
        <v>21</v>
      </c>
      <c r="H40" s="147">
        <f>'All Data'!U39</f>
        <v>0.006801945232658076</v>
      </c>
      <c r="I40" s="149">
        <f>'All Data'!V39</f>
        <v>147.1</v>
      </c>
      <c r="J40" s="149">
        <f>'All Data'!W39</f>
        <v>37</v>
      </c>
      <c r="K40" s="152">
        <f>'All Data'!BH39</f>
        <v>2700551</v>
      </c>
      <c r="L40" s="146">
        <f>'All Data'!AJ39</f>
        <v>1928669</v>
      </c>
      <c r="M40" s="146">
        <f>'All Data'!I39</f>
      </c>
      <c r="N40" s="145">
        <f>IF('All Data'!AR39="","",'All Data'!AR39)</f>
      </c>
    </row>
    <row r="41" spans="1:14" ht="12.75">
      <c r="A41" s="151" t="str">
        <f>'All Data'!B40</f>
        <v>Shall Issue</v>
      </c>
      <c r="B41" s="151" t="str">
        <f>'All Data'!C40</f>
        <v>Nebraska</v>
      </c>
      <c r="C41" s="146">
        <f>'All Data'!O40</f>
        <v>12217</v>
      </c>
      <c r="D41" s="147">
        <f>'All Data'!Q40</f>
        <v>0.009492699626803337</v>
      </c>
      <c r="E41" s="148">
        <f>'All Data'!R40</f>
        <v>105.39999999999999</v>
      </c>
      <c r="F41" s="149">
        <f>'All Data'!S40</f>
        <v>38</v>
      </c>
      <c r="G41" s="149">
        <f>'All Data'!T40</f>
        <v>21</v>
      </c>
      <c r="H41" s="147">
        <f>'All Data'!U40</f>
        <v>0.006689331291363442</v>
      </c>
      <c r="I41" s="149">
        <f>'All Data'!V40</f>
        <v>149.5</v>
      </c>
      <c r="J41" s="149">
        <f>'All Data'!W40</f>
        <v>38</v>
      </c>
      <c r="K41" s="152">
        <f>'All Data'!BH40</f>
        <v>1826341</v>
      </c>
      <c r="L41" s="146">
        <f>'All Data'!AJ40</f>
        <v>1286989</v>
      </c>
      <c r="M41" s="146" t="str">
        <f>'All Data'!I40</f>
        <v>Email</v>
      </c>
      <c r="N41" s="145" t="str">
        <f>IF('All Data'!AR40="","",'All Data'!AR40)</f>
        <v>http://statepatrol.nebraska.gov/ConcealCarry.aspx</v>
      </c>
    </row>
    <row r="42" spans="1:14" ht="12.75">
      <c r="A42" s="151" t="str">
        <f>'All Data'!B41</f>
        <v>Shall Issue</v>
      </c>
      <c r="B42" s="151" t="str">
        <f>'All Data'!C41</f>
        <v>Mississippi</v>
      </c>
      <c r="C42" s="146">
        <f>'All Data'!O41</f>
        <v>16700</v>
      </c>
      <c r="D42" s="147">
        <f>'All Data'!Q41</f>
        <v>0.008323495363176699</v>
      </c>
      <c r="E42" s="148">
        <f>'All Data'!R41</f>
        <v>120.19999999999999</v>
      </c>
      <c r="F42" s="149">
        <f>'All Data'!S41</f>
        <v>39</v>
      </c>
      <c r="G42" s="149">
        <f>'All Data'!T41</f>
        <v>21</v>
      </c>
      <c r="H42" s="147">
        <f>'All Data'!U41</f>
        <v>0.005628017687477863</v>
      </c>
      <c r="I42" s="149">
        <f>'All Data'!V41</f>
        <v>177.7</v>
      </c>
      <c r="J42" s="149">
        <f>'All Data'!W41</f>
        <v>39</v>
      </c>
      <c r="K42" s="152">
        <f>'All Data'!BH41</f>
        <v>2967297</v>
      </c>
      <c r="L42" s="146">
        <f>'All Data'!AJ41</f>
        <v>2006368.6313662308</v>
      </c>
      <c r="M42" s="146">
        <f>'All Data'!I41</f>
      </c>
      <c r="N42" s="145">
        <f>IF('All Data'!AR41="","",'All Data'!AR41)</f>
      </c>
    </row>
    <row r="43" spans="1:14" ht="12.75">
      <c r="A43" s="151" t="str">
        <f>'All Data'!B42</f>
        <v>Shall Issue</v>
      </c>
      <c r="B43" s="151" t="str">
        <f>'All Data'!C42</f>
        <v>New Mexico</v>
      </c>
      <c r="C43" s="146">
        <f>'All Data'!O42</f>
        <v>3767</v>
      </c>
      <c r="D43" s="147">
        <f>'All Data'!Q42</f>
        <v>0.0027108620999014158</v>
      </c>
      <c r="E43" s="148">
        <f>'All Data'!R42</f>
        <v>368.90000000000003</v>
      </c>
      <c r="F43" s="149">
        <f>'All Data'!S42</f>
        <v>40</v>
      </c>
      <c r="G43" s="149">
        <f>'All Data'!T42</f>
        <v>21</v>
      </c>
      <c r="H43" s="147">
        <f>'All Data'!U42</f>
        <v>0.0018293698605123692</v>
      </c>
      <c r="I43" s="149">
        <f>'All Data'!V42</f>
        <v>546.7</v>
      </c>
      <c r="J43" s="149">
        <f>'All Data'!W42</f>
        <v>40</v>
      </c>
      <c r="K43" s="152">
        <f>'All Data'!BH42</f>
        <v>2059179</v>
      </c>
      <c r="L43" s="146">
        <f>'All Data'!AJ42</f>
        <v>1389594.845173789</v>
      </c>
      <c r="M43" s="146" t="str">
        <f>'All Data'!I42</f>
        <v>Link</v>
      </c>
      <c r="N43" s="145" t="str">
        <f>IF('All Data'!AR42="","",'All Data'!AR42)</f>
        <v>http://www.nm-ccw.com/faq.htm</v>
      </c>
    </row>
    <row r="44" spans="1:14" ht="12.75">
      <c r="A44" s="151" t="str">
        <f>'All Data'!B43</f>
        <v>May Issue</v>
      </c>
      <c r="B44" s="151" t="str">
        <f>'All Data'!C43</f>
        <v>Delaware</v>
      </c>
      <c r="C44" s="146">
        <f>'All Data'!O43</f>
        <v>1100</v>
      </c>
      <c r="D44" s="147">
        <f>'All Data'!Q43</f>
        <v>0.0015892072600766575</v>
      </c>
      <c r="E44" s="148">
        <f>'All Data'!R43</f>
        <v>629.3000000000001</v>
      </c>
      <c r="F44" s="149">
        <f>'All Data'!S43</f>
        <v>41</v>
      </c>
      <c r="G44" s="149">
        <f>'All Data'!T43</f>
        <v>18</v>
      </c>
      <c r="H44" s="147">
        <f>'All Data'!U43</f>
        <v>0.0012250343566453659</v>
      </c>
      <c r="I44" s="149">
        <f>'All Data'!V43</f>
        <v>816.4</v>
      </c>
      <c r="J44" s="149">
        <f>'All Data'!W43</f>
        <v>41</v>
      </c>
      <c r="K44" s="152">
        <f>'All Data'!BH43</f>
        <v>897934</v>
      </c>
      <c r="L44" s="146">
        <f>'All Data'!AJ43</f>
        <v>692169</v>
      </c>
      <c r="M44" s="146">
        <f>'All Data'!I43</f>
      </c>
      <c r="N44" s="145">
        <f>IF('All Data'!AR43="","",'All Data'!AR43)</f>
      </c>
    </row>
    <row r="45" spans="1:14" ht="12.75">
      <c r="A45" s="151" t="str">
        <f>'All Data'!B44</f>
        <v>May Issue</v>
      </c>
      <c r="B45" s="151" t="str">
        <f>'All Data'!C44</f>
        <v>California</v>
      </c>
      <c r="C45" s="146">
        <f>'All Data'!O44</f>
        <v>40296</v>
      </c>
      <c r="D45" s="147">
        <f>'All Data'!Q44</f>
        <v>0.0015363574085246637</v>
      </c>
      <c r="E45" s="148">
        <f>'All Data'!R44</f>
        <v>650.9</v>
      </c>
      <c r="F45" s="149">
        <f>'All Data'!S44</f>
        <v>42</v>
      </c>
      <c r="G45" s="149">
        <f>'All Data'!T44</f>
        <v>21</v>
      </c>
      <c r="H45" s="147">
        <f>'All Data'!U44</f>
        <v>0.0010816569386617625</v>
      </c>
      <c r="I45" s="149">
        <f>'All Data'!V44</f>
        <v>924.6</v>
      </c>
      <c r="J45" s="149">
        <f>'All Data'!W44</f>
        <v>42</v>
      </c>
      <c r="K45" s="152">
        <f>'All Data'!BH44</f>
        <v>37253956</v>
      </c>
      <c r="L45" s="146">
        <f>'All Data'!AJ44</f>
        <v>26228272</v>
      </c>
      <c r="M45" s="146" t="str">
        <f>'All Data'!I44</f>
        <v>Link</v>
      </c>
      <c r="N45" s="145" t="str">
        <f>IF('All Data'!AR44="","",'All Data'!AR44)</f>
        <v>http://ag.ca.gov/firearms/forms/pdf/ccwissuances2007.pdf</v>
      </c>
    </row>
    <row r="46" spans="1:14" ht="12.75">
      <c r="A46" s="151" t="str">
        <f>'All Data'!B45</f>
        <v>May Issue</v>
      </c>
      <c r="B46" s="151" t="str">
        <f>'All Data'!C45</f>
        <v>Maryland</v>
      </c>
      <c r="C46" s="146">
        <f>'All Data'!O45</f>
        <v>661</v>
      </c>
      <c r="D46" s="147">
        <f>'All Data'!Q45</f>
        <v>0.00014952761940266769</v>
      </c>
      <c r="E46" s="148">
        <f>'All Data'!R45</f>
        <v>6687.8</v>
      </c>
      <c r="F46" s="149">
        <f>'All Data'!S45</f>
        <v>43</v>
      </c>
      <c r="G46" s="149">
        <f>'All Data'!T45</f>
        <v>18</v>
      </c>
      <c r="H46" s="147">
        <f>'All Data'!U45</f>
        <v>0.00011448758060895615</v>
      </c>
      <c r="I46" s="149">
        <f>'All Data'!V45</f>
        <v>8734.6</v>
      </c>
      <c r="J46" s="149">
        <f>'All Data'!W45</f>
        <v>43</v>
      </c>
      <c r="K46" s="152">
        <f>'All Data'!BH45</f>
        <v>5773552</v>
      </c>
      <c r="L46" s="146">
        <f>'All Data'!AJ45</f>
        <v>4420588</v>
      </c>
      <c r="M46" s="146" t="str">
        <f>'All Data'!I45</f>
        <v>Email</v>
      </c>
      <c r="N46" s="145" t="str">
        <f>IF('All Data'!AR45="","",'All Data'!AR45)</f>
        <v>http://www.mdsp.org/</v>
      </c>
    </row>
    <row r="47" spans="1:14" ht="12.75">
      <c r="A47" s="151" t="str">
        <f>'All Data'!B46</f>
        <v>Shall Issue</v>
      </c>
      <c r="B47" s="151" t="str">
        <f>'All Data'!C46</f>
        <v>Wisconsin</v>
      </c>
      <c r="C47" s="146">
        <f>'All Data'!O46</f>
      </c>
      <c r="D47" s="147">
        <f>'All Data'!Q46</f>
      </c>
      <c r="E47" s="148">
        <f>'All Data'!R46</f>
      </c>
      <c r="F47" s="149">
        <f>'All Data'!S46</f>
      </c>
      <c r="G47" s="149">
        <f>'All Data'!T46</f>
        <v>21</v>
      </c>
      <c r="H47" s="147">
        <f>'All Data'!U46</f>
      </c>
      <c r="I47" s="149">
        <f>'All Data'!V46</f>
      </c>
      <c r="J47" s="149">
        <f>'All Data'!W46</f>
      </c>
      <c r="K47" s="152">
        <f>'All Data'!BH46</f>
        <v>5686986</v>
      </c>
      <c r="L47" s="146">
        <f>'All Data'!AJ46</f>
        <v>4104027</v>
      </c>
      <c r="M47" s="146">
        <f>'All Data'!I46</f>
      </c>
      <c r="N47" s="145">
        <f>IF('All Data'!AR46="","",'All Data'!AR46)</f>
      </c>
    </row>
    <row r="48" spans="1:14" ht="12.75">
      <c r="A48" s="151" t="str">
        <f>'All Data'!B47</f>
        <v>May Issue</v>
      </c>
      <c r="B48" s="151" t="str">
        <f>'All Data'!C47</f>
        <v>Hawaii</v>
      </c>
      <c r="C48" s="146">
        <f>'All Data'!O47</f>
      </c>
      <c r="D48" s="147">
        <f>'All Data'!Q47</f>
      </c>
      <c r="E48" s="148">
        <f>'All Data'!R47</f>
      </c>
      <c r="F48" s="149">
        <f>'All Data'!S47</f>
      </c>
      <c r="G48" s="149">
        <f>'All Data'!T47</f>
        <v>21</v>
      </c>
      <c r="H48" s="147">
        <f>'All Data'!U47</f>
      </c>
      <c r="I48" s="149">
        <f>'All Data'!V47</f>
      </c>
      <c r="J48" s="149">
        <f>'All Data'!W47</f>
      </c>
      <c r="K48" s="152">
        <f>'All Data'!BH47</f>
        <v>1360301</v>
      </c>
      <c r="L48" s="146">
        <f>'All Data'!AJ47</f>
        <v>1003512</v>
      </c>
      <c r="M48" s="146">
        <f>'All Data'!I47</f>
      </c>
      <c r="N48" s="145">
        <f>IF('All Data'!AR47="","",'All Data'!AR47)</f>
      </c>
    </row>
    <row r="49" spans="1:14" ht="12.75">
      <c r="A49" s="151" t="str">
        <f>'All Data'!B48</f>
        <v>May Issue</v>
      </c>
      <c r="B49" s="151" t="str">
        <f>'All Data'!C48</f>
        <v>Massachusetts</v>
      </c>
      <c r="C49" s="146">
        <f>'All Data'!O48</f>
      </c>
      <c r="D49" s="147">
        <f>'All Data'!Q48</f>
      </c>
      <c r="E49" s="148">
        <f>'All Data'!R48</f>
      </c>
      <c r="F49" s="149">
        <f>'All Data'!S48</f>
      </c>
      <c r="G49" s="149">
        <f>'All Data'!T48</f>
        <v>21</v>
      </c>
      <c r="H49" s="147">
        <f>'All Data'!U48</f>
      </c>
      <c r="I49" s="149">
        <f>'All Data'!V48</f>
      </c>
      <c r="J49" s="149">
        <f>'All Data'!W48</f>
      </c>
      <c r="K49" s="152">
        <f>'All Data'!BH48</f>
        <v>6547629</v>
      </c>
      <c r="L49" s="146">
        <f>'All Data'!AJ48</f>
        <v>4731396.646816862</v>
      </c>
      <c r="M49" s="146">
        <f>'All Data'!I48</f>
      </c>
      <c r="N49" s="145">
        <f>IF('All Data'!AR48="","",'All Data'!AR48)</f>
      </c>
    </row>
    <row r="50" spans="1:14" ht="12.75">
      <c r="A50" s="151" t="str">
        <f>'All Data'!B49</f>
        <v>May Issue</v>
      </c>
      <c r="B50" s="151" t="str">
        <f>'All Data'!C49</f>
        <v>New Jersey</v>
      </c>
      <c r="C50" s="146">
        <f>'All Data'!O49</f>
      </c>
      <c r="D50" s="147">
        <f>'All Data'!Q49</f>
      </c>
      <c r="E50" s="148">
        <f>'All Data'!R49</f>
      </c>
      <c r="F50" s="149">
        <f>'All Data'!S49</f>
      </c>
      <c r="G50" s="149">
        <f>'All Data'!T49</f>
        <v>21</v>
      </c>
      <c r="H50" s="147">
        <f>'All Data'!U49</f>
      </c>
      <c r="I50" s="149">
        <f>'All Data'!V49</f>
      </c>
      <c r="J50" s="149">
        <f>'All Data'!W49</f>
      </c>
      <c r="K50" s="152">
        <f>'All Data'!BH49</f>
        <v>8791894</v>
      </c>
      <c r="L50" s="146">
        <f>'All Data'!AJ49</f>
        <v>6304189.279963633</v>
      </c>
      <c r="M50" s="146">
        <f>'All Data'!I49</f>
      </c>
      <c r="N50" s="145">
        <f>IF('All Data'!AR49="","",'All Data'!AR49)</f>
      </c>
    </row>
    <row r="51" spans="1:14" ht="12.75">
      <c r="A51" s="151" t="str">
        <f>'All Data'!B50</f>
        <v>May Issue</v>
      </c>
      <c r="B51" s="151" t="str">
        <f>'All Data'!C50</f>
        <v>New York</v>
      </c>
      <c r="C51" s="146">
        <f>'All Data'!O50</f>
      </c>
      <c r="D51" s="147">
        <f>'All Data'!Q50</f>
      </c>
      <c r="E51" s="148">
        <f>'All Data'!R50</f>
      </c>
      <c r="F51" s="149">
        <f>'All Data'!S50</f>
      </c>
      <c r="G51" s="149">
        <f>'All Data'!T50</f>
        <v>21</v>
      </c>
      <c r="H51" s="147">
        <f>'All Data'!U50</f>
      </c>
      <c r="I51" s="149">
        <f>'All Data'!V50</f>
      </c>
      <c r="J51" s="149">
        <f>'All Data'!W50</f>
      </c>
      <c r="K51" s="152">
        <f>'All Data'!BH50</f>
        <v>19378102</v>
      </c>
      <c r="L51" s="146">
        <f>'All Data'!AJ50</f>
        <v>14187508</v>
      </c>
      <c r="M51" s="146">
        <f>'All Data'!I50</f>
      </c>
      <c r="N51" s="145">
        <f>IF('All Data'!AR50="","",'All Data'!AR50)</f>
      </c>
    </row>
    <row r="52" spans="1:14" ht="12.75">
      <c r="A52" s="151" t="str">
        <f>'All Data'!B51</f>
        <v>May Issue</v>
      </c>
      <c r="B52" s="151" t="str">
        <f>'All Data'!C51</f>
        <v>Rhode Island</v>
      </c>
      <c r="C52" s="146">
        <f>'All Data'!O51</f>
      </c>
      <c r="D52" s="147">
        <f>'All Data'!Q51</f>
      </c>
      <c r="E52" s="148">
        <f>'All Data'!R51</f>
      </c>
      <c r="F52" s="149">
        <f>'All Data'!S51</f>
      </c>
      <c r="G52" s="149">
        <f>'All Data'!T51</f>
        <v>21</v>
      </c>
      <c r="H52" s="147">
        <f>'All Data'!U51</f>
      </c>
      <c r="I52" s="149">
        <f>'All Data'!V51</f>
      </c>
      <c r="J52" s="149">
        <f>'All Data'!W51</f>
      </c>
      <c r="K52" s="152">
        <f>'All Data'!BH51</f>
        <v>1052567</v>
      </c>
      <c r="L52" s="146">
        <f>'All Data'!AJ51</f>
        <v>751477.8500771235</v>
      </c>
      <c r="M52" s="146">
        <f>'All Data'!I51</f>
      </c>
      <c r="N52" s="145">
        <f>IF('All Data'!AR51="","",'All Data'!AR51)</f>
      </c>
    </row>
    <row r="53" spans="1:14" ht="12.75">
      <c r="A53" s="151" t="str">
        <f>'All Data'!B52</f>
        <v>No Issue</v>
      </c>
      <c r="B53" s="151" t="str">
        <f>'All Data'!C52</f>
        <v>Illinois</v>
      </c>
      <c r="C53" s="146">
        <f>'All Data'!O52</f>
      </c>
      <c r="D53" s="147">
        <f>'All Data'!Q52</f>
      </c>
      <c r="E53" s="148">
        <f>'All Data'!R52</f>
      </c>
      <c r="F53" s="149">
        <f>'All Data'!S52</f>
      </c>
      <c r="G53" s="149">
        <f>'All Data'!T52</f>
        <v>0</v>
      </c>
      <c r="H53" s="147">
        <f>'All Data'!U52</f>
      </c>
      <c r="I53" s="149">
        <f>'All Data'!V52</f>
      </c>
      <c r="J53" s="149">
        <f>'All Data'!W52</f>
      </c>
      <c r="K53" s="152">
        <f>'All Data'!BH52</f>
        <v>12830632</v>
      </c>
      <c r="L53" s="146">
        <f>'All Data'!AJ52</f>
        <v>9154497</v>
      </c>
      <c r="M53" s="146">
        <f>'All Data'!I52</f>
      </c>
      <c r="N53" s="145">
        <f>IF('All Data'!AR52="","",'All Data'!AR52)</f>
      </c>
    </row>
    <row r="54" spans="8:11" ht="12.75">
      <c r="H54" s="147"/>
      <c r="K54" s="152"/>
    </row>
  </sheetData>
  <sheetProtection/>
  <mergeCells count="9">
    <mergeCell ref="A3:B3"/>
    <mergeCell ref="L1:L2"/>
    <mergeCell ref="D1:F1"/>
    <mergeCell ref="H1:J1"/>
    <mergeCell ref="G1:G2"/>
    <mergeCell ref="A1:A2"/>
    <mergeCell ref="B1:B2"/>
    <mergeCell ref="C1:C2"/>
    <mergeCell ref="K1:K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Grubb</dc:creator>
  <cp:keywords/>
  <dc:description/>
  <cp:lastModifiedBy>Ken</cp:lastModifiedBy>
  <dcterms:created xsi:type="dcterms:W3CDTF">2004-12-20T06:42:04Z</dcterms:created>
  <dcterms:modified xsi:type="dcterms:W3CDTF">2011-08-17T21:33:08Z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